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ompasshealthnz.sharepoint.com/sites/Te_Kete_DevelopmentDelivery/HCHNationalCollaborative/1 Workflows/1.4 Projects/2024/Financial Modeling 2.0/"/>
    </mc:Choice>
  </mc:AlternateContent>
  <xr:revisionPtr revIDLastSave="3381" documentId="8_{26E63560-530B-448E-9186-1FA719E7764F}" xr6:coauthVersionLast="47" xr6:coauthVersionMax="47" xr10:uidLastSave="{A4CDED5D-8317-484A-9550-84634B5F8906}"/>
  <bookViews>
    <workbookView xWindow="-28920" yWindow="-120" windowWidth="29040" windowHeight="15720" tabRatio="879" activeTab="1" xr2:uid="{00000000-000D-0000-FFFF-FFFF00000000}"/>
  </bookViews>
  <sheets>
    <sheet name="Start" sheetId="39" r:id="rId1"/>
    <sheet name="My practice" sheetId="50" r:id="rId2"/>
    <sheet name="Urgent unplanned" sheetId="40" r:id="rId3"/>
    <sheet name="Proactive preventative" sheetId="41" r:id="rId4"/>
    <sheet name="Business efficiency" sheetId="42" r:id="rId5"/>
    <sheet name="Results" sheetId="48" r:id="rId6"/>
    <sheet name="Practice Inputs" sheetId="45" r:id="rId7"/>
    <sheet name="Change Inputs" sheetId="47" r:id="rId8"/>
    <sheet name="Defaults" sheetId="46" r:id="rId9"/>
    <sheet name="Formats" sheetId="43" state="hidden" r:id="rId10"/>
    <sheet name="To do" sheetId="51" state="hidden" r:id="rId11"/>
  </sheets>
  <externalReferences>
    <externalReference r:id="rId12"/>
  </externalReferences>
  <definedNames>
    <definedName name="_xlnm._FilterDatabase" localSheetId="8" hidden="1">[1]Sheet1!$3:$1447</definedName>
    <definedName name="bookmark_ca_savings">'Change Inputs'!$A$538</definedName>
    <definedName name="bookmark_call_mgmt">'Change Inputs'!$A$429</definedName>
    <definedName name="bookmark_care_plans">'Change Inputs'!$A$249</definedName>
    <definedName name="bookmark_consulting_practitioners">'Practice Inputs'!$A$53</definedName>
    <definedName name="bookmark_ext_care_team">'Change Inputs'!$A$168</definedName>
    <definedName name="bookmark_extended_hours">'Change Inputs'!$A$384</definedName>
    <definedName name="bookmark_my_practice_inputs">'Practice Inputs'!$A$21</definedName>
    <definedName name="bookmark_portal">'Change Inputs'!$A$343</definedName>
    <definedName name="bookmark_salary_inputs">'Practice Inputs'!$A$27</definedName>
    <definedName name="bookmark_space">'Change Inputs'!$A$505</definedName>
    <definedName name="bookmark_triage">'Change Inputs'!$A$8</definedName>
    <definedName name="bookmark_urgent_care_role">'Change Inputs'!$A$102</definedName>
    <definedName name="hours_per_FTE_pa">'Practice Inputs'!$L$28</definedName>
    <definedName name="input_complexity">'My practice'!$G$10</definedName>
    <definedName name="input_ESU">'My practice'!$G$7</definedName>
    <definedName name="input_pct_triaged_by_gp">'Urgent unplanned'!$I$25</definedName>
    <definedName name="input_pho">'My practice'!#REF!</definedName>
    <definedName name="input_vlca">'My practice'!$G$6</definedName>
    <definedName name="input_wkly_triage_calls">'Urgent unplanned'!$I$24</definedName>
    <definedName name="used_esu">'Practice Inputs'!$V$18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0" i="47" l="1"/>
  <c r="P571" i="47"/>
  <c r="P572" i="47"/>
  <c r="P573" i="47"/>
  <c r="P574" i="47"/>
  <c r="P575" i="47"/>
  <c r="P576" i="47"/>
  <c r="P577" i="47"/>
  <c r="P578" i="47"/>
  <c r="P579" i="47"/>
  <c r="P569" i="47"/>
  <c r="P482" i="47"/>
  <c r="P483" i="47"/>
  <c r="P484" i="47"/>
  <c r="P485" i="47"/>
  <c r="P486" i="47"/>
  <c r="P487" i="47"/>
  <c r="P488" i="47"/>
  <c r="P489" i="47"/>
  <c r="P490" i="47"/>
  <c r="P491" i="47"/>
  <c r="P492" i="47"/>
  <c r="P493" i="47"/>
  <c r="P494" i="47"/>
  <c r="P495" i="47"/>
  <c r="P496" i="47"/>
  <c r="P497" i="47"/>
  <c r="P498" i="47"/>
  <c r="P499" i="47"/>
  <c r="P500" i="47"/>
  <c r="P481" i="47"/>
  <c r="P452" i="47"/>
  <c r="P379" i="47"/>
  <c r="P378" i="47"/>
  <c r="P377" i="47"/>
  <c r="P376" i="47"/>
  <c r="P315" i="47"/>
  <c r="P316" i="47"/>
  <c r="P317" i="47"/>
  <c r="P318" i="47"/>
  <c r="P319" i="47"/>
  <c r="P320" i="47"/>
  <c r="P321" i="47"/>
  <c r="P322" i="47"/>
  <c r="P323" i="47"/>
  <c r="P324" i="47"/>
  <c r="P325" i="47"/>
  <c r="P326" i="47"/>
  <c r="P327" i="47"/>
  <c r="P328" i="47"/>
  <c r="P329" i="47"/>
  <c r="P330" i="47"/>
  <c r="P331" i="47"/>
  <c r="P332" i="47"/>
  <c r="P333" i="47"/>
  <c r="P334" i="47"/>
  <c r="P314" i="47"/>
  <c r="P231" i="47"/>
  <c r="P232" i="47"/>
  <c r="P233" i="47"/>
  <c r="P234" i="47"/>
  <c r="P235" i="47"/>
  <c r="P236" i="47"/>
  <c r="P237" i="47"/>
  <c r="P238" i="47"/>
  <c r="P239" i="47"/>
  <c r="P240" i="47"/>
  <c r="P241" i="47"/>
  <c r="P242" i="47"/>
  <c r="P243" i="47"/>
  <c r="P244" i="47"/>
  <c r="P230" i="47"/>
  <c r="P156" i="47"/>
  <c r="P157" i="47"/>
  <c r="P155" i="47"/>
  <c r="Q94" i="47"/>
  <c r="Q93" i="47"/>
  <c r="Q92" i="47"/>
  <c r="Q91" i="47"/>
  <c r="Q89" i="47"/>
  <c r="Q88" i="47"/>
  <c r="Q87" i="47"/>
  <c r="Q86" i="47"/>
  <c r="Q82" i="47"/>
  <c r="Q83" i="47"/>
  <c r="Q84" i="47"/>
  <c r="Q81" i="47"/>
  <c r="N526" i="47"/>
  <c r="B510" i="47"/>
  <c r="B509" i="47"/>
  <c r="B599" i="47"/>
  <c r="C18" i="45"/>
  <c r="H13" i="45"/>
  <c r="H17" i="45"/>
  <c r="H16" i="45"/>
  <c r="H14" i="45"/>
  <c r="F18" i="45"/>
  <c r="D546" i="47"/>
  <c r="E546" i="47"/>
  <c r="F546" i="47"/>
  <c r="G546" i="47"/>
  <c r="H546" i="47"/>
  <c r="C546" i="47"/>
  <c r="B241" i="47"/>
  <c r="B240" i="47"/>
  <c r="B239" i="47"/>
  <c r="B238" i="47"/>
  <c r="B237" i="47"/>
  <c r="B236" i="47"/>
  <c r="C192" i="47"/>
  <c r="I194" i="47"/>
  <c r="I195" i="47"/>
  <c r="I196" i="47"/>
  <c r="I197" i="47"/>
  <c r="I198" i="47"/>
  <c r="I193" i="47"/>
  <c r="I543" i="47"/>
  <c r="Z160" i="46" a="1"/>
  <c r="Z160" i="46" s="1"/>
  <c r="AA160" i="46" a="1"/>
  <c r="AA160" i="46" s="1"/>
  <c r="AB160" i="46" a="1"/>
  <c r="AB160" i="46" s="1"/>
  <c r="AC160" i="46" a="1"/>
  <c r="AC160" i="46"/>
  <c r="AD160" i="46" a="1"/>
  <c r="AD160" i="46" s="1"/>
  <c r="AE160" i="46" a="1"/>
  <c r="AE160" i="46" s="1"/>
  <c r="Z161" i="46" a="1"/>
  <c r="Z161" i="46" s="1"/>
  <c r="AA161" i="46" a="1"/>
  <c r="AA161" i="46"/>
  <c r="AB161" i="46" a="1"/>
  <c r="AB161" i="46" s="1"/>
  <c r="AC161" i="46" a="1"/>
  <c r="AC161" i="46" s="1"/>
  <c r="AD161" i="46" a="1"/>
  <c r="AD161" i="46" s="1"/>
  <c r="AE161" i="46" a="1"/>
  <c r="AE161" i="46"/>
  <c r="Z162" i="46" a="1"/>
  <c r="Z162" i="46" s="1"/>
  <c r="AA162" i="46" a="1"/>
  <c r="AA162" i="46" s="1"/>
  <c r="AB162" i="46" a="1"/>
  <c r="AB162" i="46" s="1"/>
  <c r="AC162" i="46" a="1"/>
  <c r="AC162" i="46" s="1"/>
  <c r="AD162" i="46" a="1"/>
  <c r="AD162" i="46" s="1"/>
  <c r="AE162" i="46" a="1"/>
  <c r="AE162" i="46" s="1"/>
  <c r="Z163" i="46" a="1"/>
  <c r="Z163" i="46" s="1"/>
  <c r="AA163" i="46" a="1"/>
  <c r="AA163" i="46" s="1"/>
  <c r="AB163" i="46" a="1"/>
  <c r="AB163" i="46" s="1"/>
  <c r="AC163" i="46" a="1"/>
  <c r="AC163" i="46" s="1"/>
  <c r="AD163" i="46" a="1"/>
  <c r="AD163" i="46" s="1"/>
  <c r="AE163" i="46" a="1"/>
  <c r="AE163" i="46" s="1"/>
  <c r="Z164" i="46" a="1"/>
  <c r="Z164" i="46" s="1"/>
  <c r="AA164" i="46" a="1"/>
  <c r="AA164" i="46" s="1"/>
  <c r="AB164" i="46" a="1"/>
  <c r="AB164" i="46" s="1"/>
  <c r="AC164" i="46" a="1"/>
  <c r="AC164" i="46" s="1"/>
  <c r="AD164" i="46" a="1"/>
  <c r="AD164" i="46" s="1"/>
  <c r="AE164" i="46" a="1"/>
  <c r="AE164" i="46" s="1"/>
  <c r="AA159" i="46" a="1"/>
  <c r="AA159" i="46"/>
  <c r="AB159" i="46" a="1"/>
  <c r="AB159" i="46" s="1"/>
  <c r="AC159" i="46" a="1"/>
  <c r="AC159" i="46"/>
  <c r="AD159" i="46" a="1"/>
  <c r="AD159" i="46" s="1"/>
  <c r="AE159" i="46" a="1"/>
  <c r="AE159" i="46" s="1"/>
  <c r="Z159" i="46" a="1"/>
  <c r="Z159" i="46" s="1"/>
  <c r="O29" i="46"/>
  <c r="P29" i="46"/>
  <c r="Q29" i="46"/>
  <c r="R29" i="46"/>
  <c r="S29" i="46"/>
  <c r="T29" i="46"/>
  <c r="O30" i="46"/>
  <c r="P30" i="46"/>
  <c r="Q30" i="46"/>
  <c r="R30" i="46"/>
  <c r="S30" i="46"/>
  <c r="T30" i="46"/>
  <c r="O31" i="46"/>
  <c r="P31" i="46"/>
  <c r="Q31" i="46"/>
  <c r="R31" i="46"/>
  <c r="S31" i="46"/>
  <c r="T31" i="46"/>
  <c r="O32" i="46"/>
  <c r="P32" i="46"/>
  <c r="Q32" i="46"/>
  <c r="R32" i="46"/>
  <c r="S32" i="46"/>
  <c r="T32" i="46"/>
  <c r="O33" i="46"/>
  <c r="P33" i="46"/>
  <c r="Q33" i="46"/>
  <c r="R33" i="46"/>
  <c r="S33" i="46"/>
  <c r="T33" i="46"/>
  <c r="P28" i="46"/>
  <c r="Q28" i="46"/>
  <c r="R28" i="46"/>
  <c r="S28" i="46"/>
  <c r="T28" i="46"/>
  <c r="O28" i="46"/>
  <c r="C29" i="46"/>
  <c r="D29" i="46"/>
  <c r="E29" i="46"/>
  <c r="F29" i="46"/>
  <c r="G29" i="46"/>
  <c r="H29" i="46"/>
  <c r="C30" i="46"/>
  <c r="D30" i="46"/>
  <c r="E30" i="46"/>
  <c r="F30" i="46"/>
  <c r="G30" i="46"/>
  <c r="H30" i="46"/>
  <c r="C31" i="46"/>
  <c r="D31" i="46"/>
  <c r="E31" i="46"/>
  <c r="F31" i="46"/>
  <c r="G31" i="46"/>
  <c r="H31" i="46"/>
  <c r="C32" i="46"/>
  <c r="D32" i="46"/>
  <c r="E32" i="46"/>
  <c r="F32" i="46"/>
  <c r="G32" i="46"/>
  <c r="H32" i="46"/>
  <c r="C33" i="46"/>
  <c r="D33" i="46"/>
  <c r="E33" i="46"/>
  <c r="F33" i="46"/>
  <c r="G33" i="46"/>
  <c r="H33" i="46"/>
  <c r="D28" i="46"/>
  <c r="E28" i="46"/>
  <c r="F28" i="46"/>
  <c r="G28" i="46"/>
  <c r="H28" i="46"/>
  <c r="C28" i="46"/>
  <c r="I29" i="46"/>
  <c r="J29" i="46"/>
  <c r="K29" i="46"/>
  <c r="L29" i="46"/>
  <c r="M29" i="46"/>
  <c r="N29" i="46"/>
  <c r="I30" i="46"/>
  <c r="J30" i="46"/>
  <c r="K30" i="46"/>
  <c r="L30" i="46"/>
  <c r="M30" i="46"/>
  <c r="N30" i="46"/>
  <c r="I31" i="46"/>
  <c r="J31" i="46"/>
  <c r="K31" i="46"/>
  <c r="L31" i="46"/>
  <c r="M31" i="46"/>
  <c r="N31" i="46"/>
  <c r="I32" i="46"/>
  <c r="J32" i="46"/>
  <c r="K32" i="46"/>
  <c r="L32" i="46"/>
  <c r="M32" i="46"/>
  <c r="N32" i="46"/>
  <c r="I33" i="46"/>
  <c r="J33" i="46"/>
  <c r="K33" i="46"/>
  <c r="L33" i="46"/>
  <c r="M33" i="46"/>
  <c r="N33" i="46"/>
  <c r="J28" i="46"/>
  <c r="K28" i="46"/>
  <c r="L28" i="46"/>
  <c r="M28" i="46"/>
  <c r="N28" i="46"/>
  <c r="I28" i="46"/>
  <c r="J163" i="46" a="1"/>
  <c r="J163" i="46" s="1"/>
  <c r="H159" i="46" a="1"/>
  <c r="H159" i="46" s="1"/>
  <c r="H15" i="45"/>
  <c r="D18" i="45"/>
  <c r="E18" i="45"/>
  <c r="G18" i="45"/>
  <c r="H12" i="45"/>
  <c r="N160" i="46" a="1"/>
  <c r="N160" i="46" s="1"/>
  <c r="O160" i="46" a="1"/>
  <c r="O160" i="46" s="1"/>
  <c r="P160" i="46" a="1"/>
  <c r="P160" i="46" s="1"/>
  <c r="Q160" i="46" a="1"/>
  <c r="Q160" i="46" s="1"/>
  <c r="R160" i="46" a="1"/>
  <c r="R160" i="46" s="1"/>
  <c r="S160" i="46" a="1"/>
  <c r="S160" i="46" s="1"/>
  <c r="N161" i="46" a="1"/>
  <c r="N161" i="46" s="1"/>
  <c r="O161" i="46" a="1"/>
  <c r="O161" i="46" s="1"/>
  <c r="P161" i="46" a="1"/>
  <c r="P161" i="46" s="1"/>
  <c r="Q161" i="46" a="1"/>
  <c r="Q161" i="46" s="1"/>
  <c r="R161" i="46" a="1"/>
  <c r="R161" i="46" s="1"/>
  <c r="S161" i="46" a="1"/>
  <c r="S161" i="46" s="1"/>
  <c r="N162" i="46" a="1"/>
  <c r="N162" i="46" s="1"/>
  <c r="O162" i="46" a="1"/>
  <c r="O162" i="46" s="1"/>
  <c r="P162" i="46" a="1"/>
  <c r="P162" i="46" s="1"/>
  <c r="Q162" i="46" a="1"/>
  <c r="Q162" i="46" s="1"/>
  <c r="R162" i="46" a="1"/>
  <c r="R162" i="46" s="1"/>
  <c r="S162" i="46" a="1"/>
  <c r="S162" i="46" s="1"/>
  <c r="N163" i="46" a="1"/>
  <c r="N163" i="46" s="1"/>
  <c r="O163" i="46" a="1"/>
  <c r="O163" i="46" s="1"/>
  <c r="P163" i="46" a="1"/>
  <c r="P163" i="46" s="1"/>
  <c r="Q163" i="46" a="1"/>
  <c r="Q163" i="46" s="1"/>
  <c r="R163" i="46" a="1"/>
  <c r="R163" i="46" s="1"/>
  <c r="S163" i="46" a="1"/>
  <c r="S163" i="46" s="1"/>
  <c r="N164" i="46" a="1"/>
  <c r="N164" i="46" s="1"/>
  <c r="O164" i="46" a="1"/>
  <c r="O164" i="46" s="1"/>
  <c r="P164" i="46" a="1"/>
  <c r="P164" i="46" s="1"/>
  <c r="Q164" i="46" a="1"/>
  <c r="Q164" i="46" s="1"/>
  <c r="R164" i="46" a="1"/>
  <c r="R164" i="46" s="1"/>
  <c r="S164" i="46" a="1"/>
  <c r="S164" i="46" s="1"/>
  <c r="O159" i="46" a="1"/>
  <c r="O159" i="46" s="1"/>
  <c r="P159" i="46" a="1"/>
  <c r="P159" i="46" s="1"/>
  <c r="Q159" i="46" a="1"/>
  <c r="Q159" i="46" s="1"/>
  <c r="R159" i="46" a="1"/>
  <c r="R159" i="46" s="1"/>
  <c r="S159" i="46" a="1"/>
  <c r="S159" i="46" s="1"/>
  <c r="N159" i="46" a="1"/>
  <c r="N159" i="46" s="1"/>
  <c r="H160" i="46" a="1"/>
  <c r="H160" i="46" s="1"/>
  <c r="I160" i="46" a="1"/>
  <c r="I160" i="46" s="1"/>
  <c r="J160" i="46" a="1"/>
  <c r="J160" i="46" s="1"/>
  <c r="K160" i="46" a="1"/>
  <c r="K160" i="46" s="1"/>
  <c r="L160" i="46" a="1"/>
  <c r="L160" i="46" s="1"/>
  <c r="M160" i="46" a="1"/>
  <c r="M160" i="46" s="1"/>
  <c r="H161" i="46" a="1"/>
  <c r="H161" i="46" s="1"/>
  <c r="I161" i="46" a="1"/>
  <c r="I161" i="46" s="1"/>
  <c r="J161" i="46" a="1"/>
  <c r="J161" i="46" s="1"/>
  <c r="K161" i="46" a="1"/>
  <c r="K161" i="46" s="1"/>
  <c r="L161" i="46" a="1"/>
  <c r="L161" i="46" s="1"/>
  <c r="M161" i="46" a="1"/>
  <c r="M161" i="46" s="1"/>
  <c r="H162" i="46" a="1"/>
  <c r="H162" i="46" s="1"/>
  <c r="I162" i="46" a="1"/>
  <c r="I162" i="46" s="1"/>
  <c r="J162" i="46" a="1"/>
  <c r="J162" i="46" s="1"/>
  <c r="K162" i="46" a="1"/>
  <c r="K162" i="46" s="1"/>
  <c r="L162" i="46" a="1"/>
  <c r="L162" i="46" s="1"/>
  <c r="M162" i="46" a="1"/>
  <c r="M162" i="46" s="1"/>
  <c r="H163" i="46" a="1"/>
  <c r="H163" i="46" s="1"/>
  <c r="I163" i="46" a="1"/>
  <c r="I163" i="46" s="1"/>
  <c r="K163" i="46" a="1"/>
  <c r="K163" i="46" s="1"/>
  <c r="L163" i="46" a="1"/>
  <c r="L163" i="46" s="1"/>
  <c r="M163" i="46" a="1"/>
  <c r="M163" i="46" s="1"/>
  <c r="H164" i="46" a="1"/>
  <c r="H164" i="46" s="1"/>
  <c r="I164" i="46" a="1"/>
  <c r="I164" i="46" s="1"/>
  <c r="J164" i="46" a="1"/>
  <c r="J164" i="46" s="1"/>
  <c r="K164" i="46" a="1"/>
  <c r="K164" i="46" s="1"/>
  <c r="L164" i="46" a="1"/>
  <c r="L164" i="46" s="1"/>
  <c r="M164" i="46" a="1"/>
  <c r="M164" i="46" s="1"/>
  <c r="I159" i="46" a="1"/>
  <c r="I159" i="46" s="1"/>
  <c r="U159" i="46" s="1"/>
  <c r="J159" i="46" a="1"/>
  <c r="J159" i="46" s="1"/>
  <c r="K159" i="46" a="1"/>
  <c r="K159" i="46" s="1"/>
  <c r="L159" i="46" a="1"/>
  <c r="L159" i="46" s="1"/>
  <c r="M159" i="46" a="1"/>
  <c r="M159" i="46" s="1"/>
  <c r="Y159" i="46" s="1"/>
  <c r="E629" i="47"/>
  <c r="J629" i="47"/>
  <c r="B10" i="46"/>
  <c r="B9" i="46"/>
  <c r="B8" i="46"/>
  <c r="K5" i="46"/>
  <c r="I6" i="46"/>
  <c r="I5" i="46" s="1"/>
  <c r="J6" i="46"/>
  <c r="J5" i="46" s="1"/>
  <c r="B4" i="46" s="1"/>
  <c r="L28" i="45"/>
  <c r="B25" i="47"/>
  <c r="K29" i="45"/>
  <c r="L29" i="45" s="1"/>
  <c r="K30" i="45"/>
  <c r="L30" i="45" s="1"/>
  <c r="K31" i="45"/>
  <c r="L31" i="45"/>
  <c r="K32" i="45"/>
  <c r="L32" i="45" s="1"/>
  <c r="K33" i="45"/>
  <c r="L33" i="45"/>
  <c r="K34" i="45"/>
  <c r="L34" i="45"/>
  <c r="K35" i="45"/>
  <c r="L35" i="45" s="1"/>
  <c r="K36" i="45"/>
  <c r="L36" i="45" s="1"/>
  <c r="K37" i="45"/>
  <c r="L37" i="45" s="1"/>
  <c r="K38" i="45"/>
  <c r="L38" i="45"/>
  <c r="K39" i="45"/>
  <c r="L39" i="45"/>
  <c r="K40" i="45"/>
  <c r="L40" i="45" s="1"/>
  <c r="K41" i="45"/>
  <c r="L41" i="45"/>
  <c r="K42" i="45"/>
  <c r="L42" i="45" s="1"/>
  <c r="K43" i="45"/>
  <c r="L43" i="45"/>
  <c r="K44" i="45"/>
  <c r="L44" i="45" s="1"/>
  <c r="K45" i="45"/>
  <c r="L45" i="45"/>
  <c r="K46" i="45"/>
  <c r="L46" i="45" s="1"/>
  <c r="K47" i="45"/>
  <c r="L47" i="45"/>
  <c r="C112" i="46"/>
  <c r="C111" i="46"/>
  <c r="B18" i="45"/>
  <c r="B266" i="47"/>
  <c r="D111" i="47"/>
  <c r="A147" i="47" s="1"/>
  <c r="A116" i="47"/>
  <c r="A124" i="47" s="1"/>
  <c r="D116" i="47"/>
  <c r="B138" i="47"/>
  <c r="D138" i="47" s="1"/>
  <c r="B108" i="47"/>
  <c r="D108" i="47"/>
  <c r="B107" i="47"/>
  <c r="G282" i="47"/>
  <c r="G283" i="47"/>
  <c r="G281" i="47"/>
  <c r="G280" i="47"/>
  <c r="G279" i="47"/>
  <c r="G275" i="47"/>
  <c r="G276" i="47"/>
  <c r="G274" i="47"/>
  <c r="H55" i="45"/>
  <c r="H57" i="45"/>
  <c r="H58" i="45"/>
  <c r="H59" i="45"/>
  <c r="H60" i="45"/>
  <c r="H61" i="45"/>
  <c r="H62" i="45"/>
  <c r="H63" i="45"/>
  <c r="H64" i="45"/>
  <c r="H65" i="45"/>
  <c r="H66" i="45"/>
  <c r="H67" i="45"/>
  <c r="H52" i="42"/>
  <c r="H55" i="42"/>
  <c r="G52" i="42"/>
  <c r="G55" i="42"/>
  <c r="F52" i="42"/>
  <c r="F55" i="42"/>
  <c r="B600" i="47"/>
  <c r="B601" i="47"/>
  <c r="B598" i="47"/>
  <c r="B594" i="47"/>
  <c r="B595" i="47"/>
  <c r="B596" i="47"/>
  <c r="B593" i="47"/>
  <c r="B591" i="47"/>
  <c r="B590" i="47"/>
  <c r="B570" i="47"/>
  <c r="B569" i="47"/>
  <c r="A545" i="47"/>
  <c r="A552" i="47" s="1"/>
  <c r="F31" i="42" s="1"/>
  <c r="A544" i="47"/>
  <c r="A551" i="47" s="1"/>
  <c r="E32" i="42" s="1"/>
  <c r="K581" i="47"/>
  <c r="H580" i="47"/>
  <c r="O579" i="47"/>
  <c r="N579" i="47"/>
  <c r="O578" i="47"/>
  <c r="N578" i="47"/>
  <c r="O577" i="47"/>
  <c r="N577" i="47"/>
  <c r="O576" i="47"/>
  <c r="N576" i="47"/>
  <c r="B576" i="47"/>
  <c r="O575" i="47"/>
  <c r="N575" i="47"/>
  <c r="B575" i="47"/>
  <c r="O574" i="47"/>
  <c r="N574" i="47"/>
  <c r="B574" i="47"/>
  <c r="O573" i="47"/>
  <c r="N573" i="47"/>
  <c r="B573" i="47"/>
  <c r="O572" i="47"/>
  <c r="N572" i="47"/>
  <c r="B572" i="47"/>
  <c r="O571" i="47"/>
  <c r="N571" i="47"/>
  <c r="B571" i="47"/>
  <c r="O570" i="47"/>
  <c r="N570" i="47"/>
  <c r="O569" i="47"/>
  <c r="N569" i="47"/>
  <c r="G569" i="47"/>
  <c r="D563" i="47"/>
  <c r="D562" i="47"/>
  <c r="D561" i="47"/>
  <c r="D558" i="47"/>
  <c r="D557" i="47"/>
  <c r="D556" i="47"/>
  <c r="I545" i="47"/>
  <c r="I544" i="47"/>
  <c r="G57" i="41"/>
  <c r="G58" i="41"/>
  <c r="G59" i="41"/>
  <c r="G60" i="41"/>
  <c r="G61" i="41"/>
  <c r="G56" i="41"/>
  <c r="G52" i="41"/>
  <c r="G56" i="45"/>
  <c r="K56" i="45" s="1"/>
  <c r="K246" i="47"/>
  <c r="N243" i="47"/>
  <c r="O243" i="47"/>
  <c r="N244" i="47"/>
  <c r="O244" i="47"/>
  <c r="O242" i="47"/>
  <c r="N242" i="47"/>
  <c r="N236" i="47"/>
  <c r="O236" i="47"/>
  <c r="N237" i="47"/>
  <c r="O237" i="47"/>
  <c r="N238" i="47"/>
  <c r="O238" i="47"/>
  <c r="N239" i="47"/>
  <c r="O239" i="47"/>
  <c r="N240" i="47"/>
  <c r="O240" i="47"/>
  <c r="N241" i="47"/>
  <c r="O241" i="47"/>
  <c r="B176" i="47"/>
  <c r="B177" i="47"/>
  <c r="B178" i="47"/>
  <c r="B179" i="47"/>
  <c r="B180" i="47"/>
  <c r="B175" i="47"/>
  <c r="A176" i="47"/>
  <c r="B231" i="47" s="1"/>
  <c r="A177" i="47"/>
  <c r="B232" i="47" s="1"/>
  <c r="A178" i="47"/>
  <c r="B233" i="47" s="1"/>
  <c r="A179" i="47"/>
  <c r="B234" i="47" s="1"/>
  <c r="A180" i="47"/>
  <c r="B235" i="47" s="1"/>
  <c r="A175" i="47"/>
  <c r="B230" i="47" s="1"/>
  <c r="B194" i="47"/>
  <c r="B195" i="47"/>
  <c r="B196" i="47"/>
  <c r="B197" i="47"/>
  <c r="B198" i="47"/>
  <c r="B193" i="47"/>
  <c r="A194" i="47"/>
  <c r="A208" i="47" s="1"/>
  <c r="A195" i="47"/>
  <c r="A209" i="47" s="1"/>
  <c r="A196" i="47"/>
  <c r="A210" i="47" s="1"/>
  <c r="A197" i="47"/>
  <c r="A211" i="47" s="1"/>
  <c r="A198" i="47"/>
  <c r="A212" i="47" s="1"/>
  <c r="A193" i="47"/>
  <c r="A207" i="47" s="1"/>
  <c r="I453" i="47"/>
  <c r="A108" i="45"/>
  <c r="D144" i="45"/>
  <c r="D145" i="45"/>
  <c r="D134" i="45"/>
  <c r="D135" i="45"/>
  <c r="D133" i="45"/>
  <c r="D136" i="45"/>
  <c r="D137" i="45"/>
  <c r="D146" i="45"/>
  <c r="F160" i="48"/>
  <c r="A610" i="47"/>
  <c r="A611" i="47"/>
  <c r="A612" i="47"/>
  <c r="A613" i="47"/>
  <c r="A614" i="47"/>
  <c r="A615" i="47"/>
  <c r="A616" i="47"/>
  <c r="A617" i="47"/>
  <c r="A618" i="47"/>
  <c r="A619" i="47"/>
  <c r="A620" i="47"/>
  <c r="A621" i="47"/>
  <c r="A622" i="47"/>
  <c r="A623" i="47"/>
  <c r="A624" i="47"/>
  <c r="A625" i="47"/>
  <c r="A626" i="47"/>
  <c r="A627" i="47"/>
  <c r="A628" i="47"/>
  <c r="A609" i="47"/>
  <c r="B141" i="48"/>
  <c r="B142" i="48"/>
  <c r="B143" i="48"/>
  <c r="B144" i="48"/>
  <c r="B145" i="48"/>
  <c r="B146" i="48"/>
  <c r="B147" i="48"/>
  <c r="B148" i="48"/>
  <c r="B149" i="48"/>
  <c r="B150" i="48"/>
  <c r="B151" i="48"/>
  <c r="B152" i="48"/>
  <c r="B153" i="48"/>
  <c r="B154" i="48"/>
  <c r="B155" i="48"/>
  <c r="B156" i="48"/>
  <c r="B157" i="48"/>
  <c r="B158" i="48"/>
  <c r="B159" i="48"/>
  <c r="B160" i="48"/>
  <c r="B140" i="48"/>
  <c r="N9" i="48"/>
  <c r="O9" i="48"/>
  <c r="P9" i="48"/>
  <c r="Q9" i="48"/>
  <c r="M9" i="48"/>
  <c r="E130" i="48"/>
  <c r="I98" i="47"/>
  <c r="F92" i="47"/>
  <c r="F97" i="47" s="1"/>
  <c r="H92" i="47"/>
  <c r="H97" i="47" s="1"/>
  <c r="L92" i="47"/>
  <c r="L97" i="47" s="1"/>
  <c r="D93" i="47"/>
  <c r="E93" i="47"/>
  <c r="H93" i="47"/>
  <c r="L93" i="47"/>
  <c r="F94" i="47"/>
  <c r="H94" i="47"/>
  <c r="L94" i="47"/>
  <c r="L91" i="47"/>
  <c r="F91" i="47"/>
  <c r="H91" i="47"/>
  <c r="P84" i="47"/>
  <c r="O84" i="47"/>
  <c r="P94" i="47"/>
  <c r="O94" i="47"/>
  <c r="P93" i="47"/>
  <c r="O93" i="47"/>
  <c r="P92" i="47"/>
  <c r="O92" i="47"/>
  <c r="P91" i="47"/>
  <c r="O91" i="47"/>
  <c r="P82" i="47"/>
  <c r="O82" i="47"/>
  <c r="P81" i="47"/>
  <c r="O81" i="47"/>
  <c r="P83" i="47"/>
  <c r="O83" i="47"/>
  <c r="D14" i="47"/>
  <c r="F83" i="47" s="1"/>
  <c r="E84" i="47" s="1"/>
  <c r="D13" i="47"/>
  <c r="B62" i="47" s="1"/>
  <c r="C16" i="47"/>
  <c r="D16" i="47" s="1"/>
  <c r="C21" i="47"/>
  <c r="J25" i="40" s="1"/>
  <c r="J591" i="47"/>
  <c r="K591" i="47"/>
  <c r="J592" i="47"/>
  <c r="Q592" i="47" s="1"/>
  <c r="K592" i="47"/>
  <c r="J593" i="47"/>
  <c r="K593" i="47"/>
  <c r="J594" i="47"/>
  <c r="K594" i="47"/>
  <c r="J595" i="47"/>
  <c r="K595" i="47"/>
  <c r="J596" i="47"/>
  <c r="AS596" i="47" s="1"/>
  <c r="K596" i="47"/>
  <c r="J597" i="47"/>
  <c r="S597" i="47" s="1"/>
  <c r="K597" i="47"/>
  <c r="J598" i="47"/>
  <c r="K598" i="47"/>
  <c r="J599" i="47"/>
  <c r="K599" i="47"/>
  <c r="J601" i="47"/>
  <c r="BP601" i="47" s="1"/>
  <c r="K601" i="47"/>
  <c r="J600" i="47"/>
  <c r="K600" i="47"/>
  <c r="K590" i="47"/>
  <c r="J590" i="47"/>
  <c r="N314" i="47"/>
  <c r="O314" i="47"/>
  <c r="N315" i="47"/>
  <c r="O315" i="47"/>
  <c r="N316" i="47"/>
  <c r="O316" i="47"/>
  <c r="N317" i="47"/>
  <c r="O317" i="47"/>
  <c r="N318" i="47"/>
  <c r="O318" i="47"/>
  <c r="N319" i="47"/>
  <c r="O319" i="47"/>
  <c r="N320" i="47"/>
  <c r="O320" i="47"/>
  <c r="N321" i="47"/>
  <c r="O321" i="47"/>
  <c r="N322" i="47"/>
  <c r="O322" i="47"/>
  <c r="N323" i="47"/>
  <c r="O323" i="47"/>
  <c r="N324" i="47"/>
  <c r="O324" i="47"/>
  <c r="N325" i="47"/>
  <c r="O325" i="47"/>
  <c r="N326" i="47"/>
  <c r="O326" i="47"/>
  <c r="N327" i="47"/>
  <c r="O327" i="47"/>
  <c r="N328" i="47"/>
  <c r="O328" i="47"/>
  <c r="N329" i="47"/>
  <c r="O329" i="47"/>
  <c r="N330" i="47"/>
  <c r="O330" i="47"/>
  <c r="N331" i="47"/>
  <c r="O331" i="47"/>
  <c r="N332" i="47"/>
  <c r="O332" i="47"/>
  <c r="N333" i="47"/>
  <c r="O333" i="47"/>
  <c r="N334" i="47"/>
  <c r="O334" i="47"/>
  <c r="O157" i="47"/>
  <c r="N157" i="47"/>
  <c r="O156" i="47"/>
  <c r="N156" i="47"/>
  <c r="O155" i="47"/>
  <c r="N155" i="47"/>
  <c r="L528" i="47"/>
  <c r="D56" i="47"/>
  <c r="D55" i="47"/>
  <c r="D54" i="47"/>
  <c r="D51" i="47"/>
  <c r="D50" i="47"/>
  <c r="D49" i="47"/>
  <c r="P89" i="47"/>
  <c r="O89" i="47"/>
  <c r="O87" i="47"/>
  <c r="O88" i="47"/>
  <c r="P87" i="47"/>
  <c r="P88" i="47"/>
  <c r="P86" i="47"/>
  <c r="O86" i="47"/>
  <c r="D140" i="47"/>
  <c r="D139" i="47"/>
  <c r="D135" i="47"/>
  <c r="D134" i="47"/>
  <c r="D133" i="47"/>
  <c r="D521" i="47"/>
  <c r="D520" i="47"/>
  <c r="D519" i="47"/>
  <c r="D516" i="47"/>
  <c r="D515" i="47"/>
  <c r="D514" i="47"/>
  <c r="D216" i="47"/>
  <c r="D217" i="47"/>
  <c r="D218" i="47"/>
  <c r="D222" i="47"/>
  <c r="D223" i="47"/>
  <c r="D224" i="47"/>
  <c r="N230" i="47"/>
  <c r="O230" i="47"/>
  <c r="N231" i="47"/>
  <c r="O231" i="47"/>
  <c r="N232" i="47"/>
  <c r="O232" i="47"/>
  <c r="N233" i="47"/>
  <c r="O233" i="47"/>
  <c r="N234" i="47"/>
  <c r="O234" i="47"/>
  <c r="N235" i="47"/>
  <c r="O235" i="47"/>
  <c r="D308" i="47"/>
  <c r="D307" i="47"/>
  <c r="D306" i="47"/>
  <c r="D303" i="47"/>
  <c r="D302" i="47"/>
  <c r="D301" i="47"/>
  <c r="D361" i="47"/>
  <c r="D360" i="47"/>
  <c r="D359" i="47"/>
  <c r="D356" i="47"/>
  <c r="D355" i="47"/>
  <c r="D354" i="47"/>
  <c r="N377" i="47"/>
  <c r="O377" i="47"/>
  <c r="N378" i="47"/>
  <c r="O378" i="47"/>
  <c r="N379" i="47"/>
  <c r="O379" i="47"/>
  <c r="O376" i="47"/>
  <c r="N376" i="47"/>
  <c r="D411" i="47"/>
  <c r="D410" i="47"/>
  <c r="D409" i="47"/>
  <c r="D406" i="47"/>
  <c r="D405" i="47"/>
  <c r="D404" i="47"/>
  <c r="B388" i="47"/>
  <c r="D388" i="47" s="1"/>
  <c r="N452" i="47"/>
  <c r="O452" i="47"/>
  <c r="N482" i="47"/>
  <c r="O482" i="47"/>
  <c r="N483" i="47"/>
  <c r="O483" i="47"/>
  <c r="N484" i="47"/>
  <c r="O484" i="47"/>
  <c r="N485" i="47"/>
  <c r="O485" i="47"/>
  <c r="N486" i="47"/>
  <c r="O486" i="47"/>
  <c r="N487" i="47"/>
  <c r="O487" i="47"/>
  <c r="N488" i="47"/>
  <c r="O488" i="47"/>
  <c r="N489" i="47"/>
  <c r="O489" i="47"/>
  <c r="N490" i="47"/>
  <c r="O490" i="47"/>
  <c r="N491" i="47"/>
  <c r="O491" i="47"/>
  <c r="N492" i="47"/>
  <c r="O492" i="47"/>
  <c r="N493" i="47"/>
  <c r="O493" i="47"/>
  <c r="N494" i="47"/>
  <c r="O494" i="47"/>
  <c r="N495" i="47"/>
  <c r="O495" i="47"/>
  <c r="N496" i="47"/>
  <c r="O496" i="47"/>
  <c r="N497" i="47"/>
  <c r="O497" i="47"/>
  <c r="N498" i="47"/>
  <c r="O498" i="47"/>
  <c r="N499" i="47"/>
  <c r="O499" i="47"/>
  <c r="N500" i="47"/>
  <c r="O500" i="47"/>
  <c r="O481" i="47"/>
  <c r="N481" i="47"/>
  <c r="B482" i="47"/>
  <c r="B483" i="47"/>
  <c r="B484" i="47"/>
  <c r="B485" i="47"/>
  <c r="B486" i="47"/>
  <c r="B487" i="47"/>
  <c r="B488" i="47"/>
  <c r="B489" i="47"/>
  <c r="B490" i="47"/>
  <c r="B491" i="47"/>
  <c r="B492" i="47"/>
  <c r="B493" i="47"/>
  <c r="B494" i="47"/>
  <c r="B495" i="47"/>
  <c r="B496" i="47"/>
  <c r="B497" i="47"/>
  <c r="B498" i="47"/>
  <c r="B499" i="47"/>
  <c r="B500" i="47"/>
  <c r="B481" i="47"/>
  <c r="D462" i="47"/>
  <c r="D463" i="47"/>
  <c r="D464" i="47"/>
  <c r="D471" i="47"/>
  <c r="D476" i="47"/>
  <c r="D475" i="47"/>
  <c r="D474" i="47"/>
  <c r="D470" i="47"/>
  <c r="D469" i="47"/>
  <c r="D447" i="47"/>
  <c r="D445" i="47"/>
  <c r="D446" i="47"/>
  <c r="D439" i="47"/>
  <c r="D440" i="47"/>
  <c r="G503" i="47"/>
  <c r="E502" i="47"/>
  <c r="B434" i="47"/>
  <c r="D434" i="47" s="1"/>
  <c r="G454" i="47"/>
  <c r="E453" i="47"/>
  <c r="F453" i="47" s="1"/>
  <c r="H453" i="47" s="1"/>
  <c r="D444" i="47"/>
  <c r="D438" i="47"/>
  <c r="C28" i="47"/>
  <c r="J26" i="40" s="1"/>
  <c r="B28" i="47"/>
  <c r="D24" i="47"/>
  <c r="C23" i="47"/>
  <c r="D23" i="47" s="1"/>
  <c r="B21" i="47"/>
  <c r="B20" i="47"/>
  <c r="D117" i="47"/>
  <c r="A117" i="47"/>
  <c r="A125" i="47" s="1"/>
  <c r="D115" i="47"/>
  <c r="A115" i="47"/>
  <c r="A123" i="47" s="1"/>
  <c r="D114" i="47"/>
  <c r="A114" i="47"/>
  <c r="A122" i="47" s="1"/>
  <c r="B109" i="47"/>
  <c r="D109" i="47" s="1"/>
  <c r="B155" i="47" s="1"/>
  <c r="D510" i="47"/>
  <c r="D509" i="47"/>
  <c r="H245" i="47"/>
  <c r="D400" i="47"/>
  <c r="B398" i="47"/>
  <c r="D398" i="47" s="1"/>
  <c r="A398" i="47"/>
  <c r="B397" i="47"/>
  <c r="D397" i="47" s="1"/>
  <c r="A397" i="47"/>
  <c r="B421" i="47" s="1"/>
  <c r="B396" i="47"/>
  <c r="D396" i="47" s="1"/>
  <c r="A396" i="47"/>
  <c r="B395" i="47"/>
  <c r="D395" i="47" s="1"/>
  <c r="A395" i="47"/>
  <c r="B419" i="47" s="1"/>
  <c r="B394" i="47"/>
  <c r="D394" i="47" s="1"/>
  <c r="A394" i="47"/>
  <c r="B418" i="47" s="1"/>
  <c r="B393" i="47"/>
  <c r="D393" i="47" s="1"/>
  <c r="A393" i="47"/>
  <c r="B417" i="47" s="1"/>
  <c r="B389" i="47"/>
  <c r="D389" i="47" s="1"/>
  <c r="D298" i="47"/>
  <c r="D297" i="47"/>
  <c r="D296" i="47"/>
  <c r="D295" i="47"/>
  <c r="D294" i="47"/>
  <c r="D293" i="47"/>
  <c r="D292" i="47"/>
  <c r="B287" i="47"/>
  <c r="D287" i="47" s="1"/>
  <c r="F283" i="47"/>
  <c r="F282" i="47"/>
  <c r="F281" i="47"/>
  <c r="F280" i="47"/>
  <c r="F279" i="47"/>
  <c r="F276" i="47"/>
  <c r="F275" i="47"/>
  <c r="F274" i="47"/>
  <c r="B269" i="47"/>
  <c r="D269" i="47" s="1"/>
  <c r="D267" i="47"/>
  <c r="G263" i="47"/>
  <c r="F263" i="47"/>
  <c r="G262" i="47"/>
  <c r="F262" i="47"/>
  <c r="G261" i="47"/>
  <c r="F261" i="47"/>
  <c r="G260" i="47"/>
  <c r="F260" i="47"/>
  <c r="G259" i="47"/>
  <c r="F259" i="47"/>
  <c r="D255" i="47"/>
  <c r="C270" i="47" s="1"/>
  <c r="D270" i="47" s="1"/>
  <c r="G423" i="47"/>
  <c r="H380" i="47"/>
  <c r="G381" i="47"/>
  <c r="G38" i="41"/>
  <c r="B334" i="47"/>
  <c r="B329" i="47"/>
  <c r="B330" i="47"/>
  <c r="B331" i="47"/>
  <c r="B332" i="47"/>
  <c r="B333" i="47"/>
  <c r="B328" i="47"/>
  <c r="B327" i="47"/>
  <c r="I327" i="47" s="1"/>
  <c r="B324" i="47"/>
  <c r="B325" i="47"/>
  <c r="B326" i="47"/>
  <c r="I326" i="47" s="1"/>
  <c r="B323" i="47"/>
  <c r="L314" i="47"/>
  <c r="B321" i="47"/>
  <c r="B322" i="47"/>
  <c r="B320" i="47"/>
  <c r="B319" i="47"/>
  <c r="B316" i="47"/>
  <c r="B317" i="47"/>
  <c r="B318" i="47"/>
  <c r="B315" i="47"/>
  <c r="I64" i="45"/>
  <c r="I61" i="45"/>
  <c r="I62" i="45"/>
  <c r="I63" i="45"/>
  <c r="I65" i="45"/>
  <c r="Z142" i="46"/>
  <c r="Y142" i="46"/>
  <c r="X142" i="46"/>
  <c r="W142" i="46"/>
  <c r="V142" i="46"/>
  <c r="U142" i="46"/>
  <c r="T142" i="46"/>
  <c r="S142" i="46"/>
  <c r="R142" i="46"/>
  <c r="Q142" i="46"/>
  <c r="G528" i="47"/>
  <c r="J528" i="47"/>
  <c r="J32" i="40"/>
  <c r="C91" i="46"/>
  <c r="D91" i="46"/>
  <c r="B91" i="46"/>
  <c r="B85" i="46"/>
  <c r="C85" i="46"/>
  <c r="D85" i="46"/>
  <c r="B83" i="46"/>
  <c r="C83" i="46"/>
  <c r="D83" i="46"/>
  <c r="B147" i="46"/>
  <c r="B145" i="46"/>
  <c r="C145" i="46" s="1"/>
  <c r="D149" i="45"/>
  <c r="B137" i="46"/>
  <c r="C137" i="46" s="1"/>
  <c r="B136" i="46"/>
  <c r="C136" i="46" s="1"/>
  <c r="B135" i="46"/>
  <c r="C135" i="46" s="1"/>
  <c r="B133" i="46"/>
  <c r="C133" i="46" s="1"/>
  <c r="B132" i="46"/>
  <c r="C132" i="46" s="1"/>
  <c r="B130" i="46"/>
  <c r="C130" i="46" s="1"/>
  <c r="B129" i="46"/>
  <c r="B138" i="46" s="1"/>
  <c r="C138" i="46" s="1"/>
  <c r="B128" i="46"/>
  <c r="B134" i="46" s="1"/>
  <c r="C134" i="46" s="1"/>
  <c r="B127" i="46"/>
  <c r="C127" i="46" s="1"/>
  <c r="D127" i="46" s="1"/>
  <c r="A127" i="45"/>
  <c r="E127" i="45" a="1"/>
  <c r="E127" i="45"/>
  <c r="B91" i="45"/>
  <c r="A109" i="45"/>
  <c r="E109" i="45" s="1" a="1"/>
  <c r="E109" i="45" s="1"/>
  <c r="A110" i="45"/>
  <c r="E110" i="45" a="1"/>
  <c r="E110" i="45" s="1"/>
  <c r="A111" i="45"/>
  <c r="E111" i="45" a="1"/>
  <c r="E111" i="45"/>
  <c r="A112" i="45"/>
  <c r="E112" i="45" s="1" a="1"/>
  <c r="E112" i="45" s="1"/>
  <c r="A113" i="45"/>
  <c r="E113" i="45" s="1" a="1"/>
  <c r="E113" i="45" s="1"/>
  <c r="A114" i="45"/>
  <c r="E114" i="45" s="1" a="1"/>
  <c r="E114" i="45" s="1"/>
  <c r="A115" i="45"/>
  <c r="E115" i="45" s="1" a="1"/>
  <c r="E115" i="45" s="1"/>
  <c r="A116" i="45"/>
  <c r="E116" i="45" s="1" a="1"/>
  <c r="E116" i="45" s="1"/>
  <c r="A117" i="45"/>
  <c r="E117" i="45" s="1" a="1"/>
  <c r="E117" i="45" s="1"/>
  <c r="A118" i="45"/>
  <c r="E118" i="45" a="1"/>
  <c r="E118" i="45"/>
  <c r="A119" i="45"/>
  <c r="E119" i="45" s="1" a="1"/>
  <c r="E119" i="45" s="1"/>
  <c r="A120" i="45"/>
  <c r="E120" i="45" a="1"/>
  <c r="E120" i="45" s="1"/>
  <c r="A121" i="45"/>
  <c r="E121" i="45" s="1" a="1"/>
  <c r="E121" i="45" s="1"/>
  <c r="A122" i="45"/>
  <c r="A123" i="45"/>
  <c r="E123" i="45" a="1"/>
  <c r="E123" i="45"/>
  <c r="A124" i="45"/>
  <c r="E124" i="45" s="1" a="1"/>
  <c r="E124" i="45" s="1"/>
  <c r="F44" i="45"/>
  <c r="I44" i="45" s="1"/>
  <c r="J44" i="45" s="1"/>
  <c r="A125" i="45"/>
  <c r="E125" i="45" s="1" a="1"/>
  <c r="E125" i="45" s="1"/>
  <c r="A126" i="45"/>
  <c r="E126" i="45" a="1"/>
  <c r="E126" i="45" s="1"/>
  <c r="B48" i="45"/>
  <c r="D88" i="45"/>
  <c r="D89" i="45"/>
  <c r="I57" i="45"/>
  <c r="I58" i="45"/>
  <c r="I59" i="45"/>
  <c r="I60" i="45"/>
  <c r="I66" i="45"/>
  <c r="I67" i="45"/>
  <c r="I55" i="45"/>
  <c r="I56" i="45"/>
  <c r="C117" i="46"/>
  <c r="B117" i="46"/>
  <c r="C29" i="47" s="1"/>
  <c r="D29" i="47" s="1"/>
  <c r="E66" i="47" s="1"/>
  <c r="B112" i="46"/>
  <c r="B111" i="46"/>
  <c r="B110" i="46"/>
  <c r="I54" i="45"/>
  <c r="C97" i="46"/>
  <c r="D97" i="46"/>
  <c r="B97" i="46"/>
  <c r="C99" i="46"/>
  <c r="D99" i="46"/>
  <c r="B99" i="46"/>
  <c r="D148" i="45"/>
  <c r="D147" i="45"/>
  <c r="D138" i="45"/>
  <c r="D139" i="45"/>
  <c r="D95" i="45"/>
  <c r="D96" i="45"/>
  <c r="D97" i="45"/>
  <c r="D98" i="45"/>
  <c r="D99" i="45"/>
  <c r="D100" i="45"/>
  <c r="D86" i="45"/>
  <c r="D90" i="45"/>
  <c r="H528" i="47"/>
  <c r="I528" i="47"/>
  <c r="K528" i="47"/>
  <c r="G570" i="47" s="1"/>
  <c r="D109" i="46"/>
  <c r="F46" i="45"/>
  <c r="I46" i="45" s="1"/>
  <c r="J46" i="45" s="1"/>
  <c r="F569" i="47"/>
  <c r="F47" i="45"/>
  <c r="I47" i="45" s="1"/>
  <c r="J47" i="45" s="1"/>
  <c r="E122" i="45" a="1"/>
  <c r="E122" i="45" s="1"/>
  <c r="J454" i="47"/>
  <c r="F452" i="47"/>
  <c r="K381" i="47"/>
  <c r="K423" i="47"/>
  <c r="D111" i="46"/>
  <c r="D110" i="46"/>
  <c r="G246" i="47"/>
  <c r="AB598" i="47" l="1"/>
  <c r="AD590" i="47"/>
  <c r="H628" i="47"/>
  <c r="C434" i="47"/>
  <c r="H20" i="42" s="1"/>
  <c r="F45" i="45"/>
  <c r="I45" i="45" s="1"/>
  <c r="J45" i="45" s="1"/>
  <c r="D578" i="47"/>
  <c r="G179" i="47"/>
  <c r="E124" i="47"/>
  <c r="H124" i="47" s="1"/>
  <c r="F37" i="45"/>
  <c r="I37" i="45" s="1"/>
  <c r="J37" i="45" s="1"/>
  <c r="B614" i="47"/>
  <c r="C147" i="47"/>
  <c r="G178" i="47"/>
  <c r="B621" i="47"/>
  <c r="D243" i="47"/>
  <c r="G177" i="47"/>
  <c r="B626" i="47"/>
  <c r="B616" i="47"/>
  <c r="D244" i="47"/>
  <c r="E123" i="47"/>
  <c r="H123" i="47" s="1"/>
  <c r="E108" i="45" a="1"/>
  <c r="E108" i="45" s="1"/>
  <c r="E125" i="47"/>
  <c r="H125" i="47" s="1"/>
  <c r="H620" i="47"/>
  <c r="B612" i="47"/>
  <c r="E122" i="47"/>
  <c r="H122" i="47" s="1"/>
  <c r="B624" i="47"/>
  <c r="B619" i="47"/>
  <c r="B611" i="47"/>
  <c r="H18" i="45"/>
  <c r="E31" i="42"/>
  <c r="G31" i="42"/>
  <c r="F32" i="42"/>
  <c r="G32" i="42" s="1"/>
  <c r="D230" i="47"/>
  <c r="N625" i="47"/>
  <c r="N617" i="47"/>
  <c r="N618" i="47"/>
  <c r="G176" i="47"/>
  <c r="H175" i="47"/>
  <c r="F22" i="41" s="1"/>
  <c r="G180" i="47"/>
  <c r="I502" i="47"/>
  <c r="K621" i="47"/>
  <c r="S592" i="47"/>
  <c r="AM592" i="47"/>
  <c r="C621" i="47"/>
  <c r="AW596" i="47"/>
  <c r="AY592" i="47"/>
  <c r="BH591" i="47"/>
  <c r="BE599" i="47"/>
  <c r="BU592" i="47"/>
  <c r="H623" i="47"/>
  <c r="I55" i="42"/>
  <c r="H612" i="47"/>
  <c r="H610" i="47"/>
  <c r="G581" i="47"/>
  <c r="AN596" i="47"/>
  <c r="H613" i="47"/>
  <c r="BG596" i="47"/>
  <c r="B613" i="47"/>
  <c r="H621" i="47"/>
  <c r="Z592" i="47"/>
  <c r="N611" i="47"/>
  <c r="K55" i="42" s="1"/>
  <c r="B208" i="47"/>
  <c r="AN592" i="47"/>
  <c r="B212" i="47"/>
  <c r="BJ601" i="47"/>
  <c r="BN599" i="47"/>
  <c r="BM595" i="47"/>
  <c r="AT591" i="47"/>
  <c r="H625" i="47"/>
  <c r="B623" i="47"/>
  <c r="J580" i="47"/>
  <c r="L580" i="47" s="1"/>
  <c r="M580" i="47" s="1"/>
  <c r="H619" i="47"/>
  <c r="BK601" i="47"/>
  <c r="BP592" i="47"/>
  <c r="AL592" i="47"/>
  <c r="B207" i="47"/>
  <c r="D242" i="47" s="1"/>
  <c r="AM594" i="47"/>
  <c r="AV591" i="47"/>
  <c r="H627" i="47"/>
  <c r="H180" i="47"/>
  <c r="L180" i="47" s="1"/>
  <c r="B625" i="47"/>
  <c r="H616" i="47"/>
  <c r="E454" i="47"/>
  <c r="Y598" i="47"/>
  <c r="BE594" i="47"/>
  <c r="H617" i="47"/>
  <c r="N613" i="47"/>
  <c r="AP601" i="47"/>
  <c r="W590" i="47"/>
  <c r="Z594" i="47"/>
  <c r="Y594" i="47"/>
  <c r="X590" i="47"/>
  <c r="Y590" i="47" s="1"/>
  <c r="Z590" i="47" s="1"/>
  <c r="BC594" i="47"/>
  <c r="BJ598" i="47"/>
  <c r="BN598" i="47"/>
  <c r="AK594" i="47"/>
  <c r="J245" i="47"/>
  <c r="L245" i="47" s="1"/>
  <c r="M245" i="47" s="1"/>
  <c r="M526" i="47"/>
  <c r="M528" i="47" s="1"/>
  <c r="F570" i="47" s="1"/>
  <c r="H570" i="47" s="1"/>
  <c r="AI600" i="47"/>
  <c r="AM597" i="47"/>
  <c r="AK593" i="47"/>
  <c r="E17" i="48"/>
  <c r="BR598" i="47"/>
  <c r="BM598" i="47"/>
  <c r="AQ590" i="47"/>
  <c r="AU594" i="47"/>
  <c r="BF590" i="47"/>
  <c r="AW598" i="47"/>
  <c r="AC594" i="47"/>
  <c r="BU594" i="47"/>
  <c r="AR590" i="47"/>
  <c r="BT590" i="47"/>
  <c r="AV598" i="47"/>
  <c r="AY590" i="47"/>
  <c r="BS594" i="47"/>
  <c r="BI598" i="47"/>
  <c r="AF598" i="47"/>
  <c r="AP590" i="47"/>
  <c r="H624" i="47"/>
  <c r="AW594" i="47"/>
  <c r="AE594" i="47"/>
  <c r="BM594" i="47"/>
  <c r="AE598" i="47"/>
  <c r="AA598" i="47"/>
  <c r="BK594" i="47"/>
  <c r="AS598" i="47"/>
  <c r="AR600" i="47"/>
  <c r="BH600" i="47"/>
  <c r="BT593" i="47"/>
  <c r="L96" i="47"/>
  <c r="L99" i="47" s="1"/>
  <c r="N623" i="47"/>
  <c r="BQ597" i="47"/>
  <c r="BD593" i="47"/>
  <c r="AC600" i="47"/>
  <c r="BM590" i="47"/>
  <c r="AM598" i="47"/>
  <c r="AF594" i="47"/>
  <c r="AI593" i="47"/>
  <c r="BA600" i="47"/>
  <c r="E601" i="47"/>
  <c r="R601" i="47" s="1"/>
  <c r="C612" i="47"/>
  <c r="BC600" i="47"/>
  <c r="AC593" i="47"/>
  <c r="AT597" i="47"/>
  <c r="B618" i="47"/>
  <c r="N626" i="47"/>
  <c r="N621" i="47"/>
  <c r="BI596" i="47"/>
  <c r="E599" i="47"/>
  <c r="U599" i="47" s="1"/>
  <c r="J339" i="47"/>
  <c r="BU600" i="47"/>
  <c r="AI597" i="47"/>
  <c r="AH597" i="47"/>
  <c r="BN595" i="47"/>
  <c r="N614" i="47"/>
  <c r="AU600" i="47"/>
  <c r="AV600" i="47"/>
  <c r="AW600" i="47"/>
  <c r="BB593" i="47"/>
  <c r="BN600" i="47"/>
  <c r="BE597" i="47"/>
  <c r="B617" i="47"/>
  <c r="N612" i="47"/>
  <c r="N609" i="47"/>
  <c r="AZ593" i="47"/>
  <c r="AB597" i="47"/>
  <c r="N619" i="47"/>
  <c r="K337" i="47"/>
  <c r="E595" i="47"/>
  <c r="R595" i="47" s="1"/>
  <c r="BR600" i="47"/>
  <c r="X597" i="47"/>
  <c r="AE590" i="47"/>
  <c r="AH590" i="47"/>
  <c r="BT594" i="47"/>
  <c r="BL594" i="47"/>
  <c r="BD594" i="47"/>
  <c r="AV594" i="47"/>
  <c r="AI590" i="47"/>
  <c r="BQ591" i="47"/>
  <c r="AO594" i="47"/>
  <c r="AL598" i="47"/>
  <c r="BT595" i="47"/>
  <c r="AF599" i="47"/>
  <c r="AQ598" i="47"/>
  <c r="BO590" i="47"/>
  <c r="BV598" i="47"/>
  <c r="BE598" i="47"/>
  <c r="AN598" i="47"/>
  <c r="Z598" i="47"/>
  <c r="AL594" i="47"/>
  <c r="AD594" i="47"/>
  <c r="BC590" i="47"/>
  <c r="BH590" i="47"/>
  <c r="AV592" i="47"/>
  <c r="BG592" i="47"/>
  <c r="AC592" i="47"/>
  <c r="AT592" i="47"/>
  <c r="AW592" i="47"/>
  <c r="BF592" i="47"/>
  <c r="AP592" i="47"/>
  <c r="AY599" i="47"/>
  <c r="BO595" i="47"/>
  <c r="BJ599" i="47"/>
  <c r="AC590" i="47"/>
  <c r="BV591" i="47"/>
  <c r="AZ590" i="47"/>
  <c r="BR594" i="47"/>
  <c r="BJ594" i="47"/>
  <c r="BB594" i="47"/>
  <c r="AT594" i="47"/>
  <c r="BA590" i="47"/>
  <c r="AR591" i="47"/>
  <c r="X594" i="47"/>
  <c r="AJ590" i="47"/>
  <c r="AR595" i="47"/>
  <c r="BI595" i="47"/>
  <c r="BH599" i="47"/>
  <c r="BL590" i="47"/>
  <c r="BP598" i="47"/>
  <c r="BF598" i="47"/>
  <c r="AO598" i="47"/>
  <c r="BS598" i="47"/>
  <c r="AJ594" i="47"/>
  <c r="AB594" i="47"/>
  <c r="BQ598" i="47"/>
  <c r="BP590" i="47"/>
  <c r="BL592" i="47"/>
  <c r="AB592" i="47"/>
  <c r="AS592" i="47"/>
  <c r="BJ592" i="47"/>
  <c r="BC592" i="47"/>
  <c r="U592" i="47"/>
  <c r="N610" i="47"/>
  <c r="C616" i="47"/>
  <c r="K626" i="47"/>
  <c r="D452" i="47"/>
  <c r="D454" i="47" s="1"/>
  <c r="M615" i="47"/>
  <c r="AT595" i="47"/>
  <c r="AG592" i="47"/>
  <c r="K335" i="47"/>
  <c r="AB590" i="47"/>
  <c r="AQ594" i="47"/>
  <c r="BI590" i="47"/>
  <c r="BQ594" i="47"/>
  <c r="BI594" i="47"/>
  <c r="BA594" i="47"/>
  <c r="AS594" i="47"/>
  <c r="BJ590" i="47"/>
  <c r="AI591" i="47"/>
  <c r="AK598" i="47"/>
  <c r="W594" i="47"/>
  <c r="AS590" i="47"/>
  <c r="AL595" i="47"/>
  <c r="AL590" i="47"/>
  <c r="BG595" i="47"/>
  <c r="AR599" i="47"/>
  <c r="BD590" i="47"/>
  <c r="BH598" i="47"/>
  <c r="AX598" i="47"/>
  <c r="AG598" i="47"/>
  <c r="BK598" i="47"/>
  <c r="W598" i="47"/>
  <c r="X598" i="47" s="1"/>
  <c r="AI594" i="47"/>
  <c r="AA594" i="47"/>
  <c r="AG590" i="47"/>
  <c r="AT598" i="47"/>
  <c r="BT592" i="47"/>
  <c r="AJ592" i="47"/>
  <c r="BA592" i="47"/>
  <c r="BR592" i="47"/>
  <c r="X592" i="47"/>
  <c r="BV592" i="47"/>
  <c r="R592" i="47"/>
  <c r="M622" i="47"/>
  <c r="H626" i="47"/>
  <c r="BH594" i="47"/>
  <c r="BB590" i="47"/>
  <c r="AJ595" i="47"/>
  <c r="AU590" i="47"/>
  <c r="AV590" i="47"/>
  <c r="AZ598" i="47"/>
  <c r="AP598" i="47"/>
  <c r="BT598" i="47"/>
  <c r="BC598" i="47"/>
  <c r="AX591" i="47"/>
  <c r="AH594" i="47"/>
  <c r="BU591" i="47"/>
  <c r="BG590" i="47"/>
  <c r="AK590" i="47"/>
  <c r="AA592" i="47"/>
  <c r="AR592" i="47"/>
  <c r="BI592" i="47"/>
  <c r="AU592" i="47"/>
  <c r="AT590" i="47"/>
  <c r="AH592" i="47"/>
  <c r="BM592" i="47"/>
  <c r="T592" i="47"/>
  <c r="B610" i="47"/>
  <c r="B211" i="47"/>
  <c r="N616" i="47"/>
  <c r="K612" i="47"/>
  <c r="E590" i="47"/>
  <c r="T590" i="47" s="1"/>
  <c r="AM600" i="47"/>
  <c r="BH593" i="47"/>
  <c r="BO592" i="47"/>
  <c r="AK592" i="47"/>
  <c r="BS592" i="47"/>
  <c r="BK592" i="47"/>
  <c r="C610" i="47"/>
  <c r="BR590" i="47"/>
  <c r="AZ594" i="47"/>
  <c r="BS590" i="47"/>
  <c r="AI598" i="47"/>
  <c r="AQ599" i="47"/>
  <c r="AC598" i="47"/>
  <c r="BG598" i="47"/>
  <c r="BO594" i="47"/>
  <c r="BG594" i="47"/>
  <c r="AY594" i="47"/>
  <c r="BA598" i="47"/>
  <c r="BL591" i="47"/>
  <c r="AA591" i="47"/>
  <c r="AB591" i="47" s="1"/>
  <c r="AR594" i="47"/>
  <c r="BB598" i="47"/>
  <c r="BK590" i="47"/>
  <c r="AD595" i="47"/>
  <c r="BE590" i="47"/>
  <c r="BO598" i="47"/>
  <c r="AA599" i="47"/>
  <c r="AM590" i="47"/>
  <c r="AN590" i="47"/>
  <c r="AR598" i="47"/>
  <c r="AH598" i="47"/>
  <c r="BL598" i="47"/>
  <c r="AU598" i="47"/>
  <c r="BQ590" i="47"/>
  <c r="AG594" i="47"/>
  <c r="AX590" i="47"/>
  <c r="AO590" i="47"/>
  <c r="AE599" i="47"/>
  <c r="AI592" i="47"/>
  <c r="AZ592" i="47"/>
  <c r="BQ592" i="47"/>
  <c r="BN592" i="47"/>
  <c r="AE592" i="47"/>
  <c r="BE592" i="47"/>
  <c r="W592" i="47"/>
  <c r="C618" i="47"/>
  <c r="N624" i="47"/>
  <c r="C625" i="47"/>
  <c r="E334" i="47"/>
  <c r="BB595" i="47"/>
  <c r="BD592" i="47"/>
  <c r="BB592" i="47"/>
  <c r="H618" i="47"/>
  <c r="AA590" i="47"/>
  <c r="BP594" i="47"/>
  <c r="AD598" i="47"/>
  <c r="AP599" i="47"/>
  <c r="AW591" i="47"/>
  <c r="Y591" i="47"/>
  <c r="AY598" i="47"/>
  <c r="BV594" i="47"/>
  <c r="BN594" i="47"/>
  <c r="BF594" i="47"/>
  <c r="AX594" i="47"/>
  <c r="W599" i="47"/>
  <c r="X599" i="47" s="1"/>
  <c r="Y599" i="47" s="1"/>
  <c r="Z599" i="47" s="1"/>
  <c r="AP594" i="47"/>
  <c r="BU590" i="47"/>
  <c r="AB595" i="47"/>
  <c r="BN590" i="47"/>
  <c r="AW590" i="47"/>
  <c r="AF590" i="47"/>
  <c r="AJ598" i="47"/>
  <c r="BU598" i="47"/>
  <c r="BD598" i="47"/>
  <c r="AN594" i="47"/>
  <c r="BV590" i="47"/>
  <c r="AF592" i="47"/>
  <c r="AQ592" i="47"/>
  <c r="BH592" i="47"/>
  <c r="AD592" i="47"/>
  <c r="AX592" i="47"/>
  <c r="AO592" i="47"/>
  <c r="Y592" i="47"/>
  <c r="E598" i="47"/>
  <c r="U598" i="47" s="1"/>
  <c r="K502" i="47"/>
  <c r="K503" i="47" s="1"/>
  <c r="E591" i="47"/>
  <c r="T591" i="47" s="1"/>
  <c r="K98" i="47"/>
  <c r="M98" i="47" s="1"/>
  <c r="N98" i="47" s="1"/>
  <c r="A149" i="47"/>
  <c r="D328" i="47"/>
  <c r="AN600" i="47"/>
  <c r="AZ600" i="47"/>
  <c r="BF593" i="47"/>
  <c r="BM600" i="47"/>
  <c r="BL593" i="47"/>
  <c r="AJ593" i="47"/>
  <c r="AT593" i="47"/>
  <c r="AR593" i="47"/>
  <c r="AT601" i="47"/>
  <c r="BQ600" i="47"/>
  <c r="BE601" i="47"/>
  <c r="AB600" i="47"/>
  <c r="BS600" i="47"/>
  <c r="BD596" i="47"/>
  <c r="AQ597" i="47"/>
  <c r="AJ597" i="47"/>
  <c r="AU597" i="47"/>
  <c r="BJ597" i="47"/>
  <c r="AX597" i="47"/>
  <c r="BU597" i="47"/>
  <c r="U597" i="47"/>
  <c r="R597" i="47"/>
  <c r="C601" i="47"/>
  <c r="C55" i="42" s="1"/>
  <c r="K624" i="47"/>
  <c r="K618" i="47"/>
  <c r="C614" i="47"/>
  <c r="C626" i="47"/>
  <c r="C623" i="47"/>
  <c r="E600" i="47"/>
  <c r="T600" i="47" s="1"/>
  <c r="J162" i="47"/>
  <c r="L162" i="47" s="1"/>
  <c r="BQ593" i="47"/>
  <c r="AR597" i="47"/>
  <c r="AF597" i="47"/>
  <c r="BK600" i="47"/>
  <c r="BJ600" i="47"/>
  <c r="AJ600" i="47"/>
  <c r="BE593" i="47"/>
  <c r="AV593" i="47"/>
  <c r="AH593" i="47"/>
  <c r="BI593" i="47"/>
  <c r="BG593" i="47"/>
  <c r="AX600" i="47"/>
  <c r="BS593" i="47"/>
  <c r="Z600" i="47"/>
  <c r="AU596" i="47"/>
  <c r="AP600" i="47"/>
  <c r="BG597" i="47"/>
  <c r="AZ597" i="47"/>
  <c r="AC597" i="47"/>
  <c r="BK597" i="47"/>
  <c r="AV597" i="47"/>
  <c r="AL597" i="47"/>
  <c r="AP597" i="47"/>
  <c r="BD597" i="47"/>
  <c r="B160" i="47"/>
  <c r="D628" i="47" s="1"/>
  <c r="B209" i="47"/>
  <c r="C624" i="47"/>
  <c r="C617" i="47"/>
  <c r="K620" i="47"/>
  <c r="K615" i="47"/>
  <c r="C150" i="47"/>
  <c r="K453" i="47"/>
  <c r="K454" i="47" s="1"/>
  <c r="B63" i="47"/>
  <c r="BV600" i="47"/>
  <c r="AN597" i="47"/>
  <c r="AS600" i="47"/>
  <c r="AH601" i="47"/>
  <c r="BB600" i="47"/>
  <c r="BO600" i="47"/>
  <c r="AO593" i="47"/>
  <c r="AG593" i="47"/>
  <c r="Y593" i="47"/>
  <c r="Z593" i="47" s="1"/>
  <c r="AA593" i="47" s="1"/>
  <c r="AB593" i="47" s="1"/>
  <c r="BA593" i="47"/>
  <c r="AY593" i="47"/>
  <c r="BK593" i="47"/>
  <c r="BB596" i="47"/>
  <c r="AU593" i="47"/>
  <c r="W593" i="47"/>
  <c r="Y600" i="47"/>
  <c r="W596" i="47"/>
  <c r="BF600" i="47"/>
  <c r="BO597" i="47"/>
  <c r="BH597" i="47"/>
  <c r="AK597" i="47"/>
  <c r="BS597" i="47"/>
  <c r="BL597" i="47"/>
  <c r="BB597" i="47"/>
  <c r="BF597" i="47"/>
  <c r="BT597" i="47"/>
  <c r="B210" i="47"/>
  <c r="C613" i="47"/>
  <c r="K617" i="47"/>
  <c r="K623" i="47"/>
  <c r="H96" i="47"/>
  <c r="H99" i="47" s="1"/>
  <c r="K625" i="47"/>
  <c r="K609" i="47"/>
  <c r="J380" i="47"/>
  <c r="L380" i="47" s="1"/>
  <c r="M380" i="47" s="1"/>
  <c r="AX593" i="47"/>
  <c r="BI600" i="47"/>
  <c r="BC593" i="47"/>
  <c r="AE596" i="47"/>
  <c r="AF601" i="47"/>
  <c r="BT600" i="47"/>
  <c r="AT600" i="47"/>
  <c r="BG600" i="47"/>
  <c r="AN593" i="47"/>
  <c r="AF593" i="47"/>
  <c r="X593" i="47"/>
  <c r="AS593" i="47"/>
  <c r="AQ593" i="47"/>
  <c r="BN593" i="47"/>
  <c r="BG601" i="47"/>
  <c r="AP593" i="47"/>
  <c r="AF600" i="47"/>
  <c r="AG600" i="47" s="1"/>
  <c r="AH600" i="47" s="1"/>
  <c r="X600" i="47"/>
  <c r="BV596" i="47"/>
  <c r="BP597" i="47"/>
  <c r="AS597" i="47"/>
  <c r="AG597" i="47"/>
  <c r="BR597" i="47"/>
  <c r="BV597" i="47"/>
  <c r="B615" i="47"/>
  <c r="K619" i="47"/>
  <c r="K613" i="47"/>
  <c r="C619" i="47"/>
  <c r="K611" i="47"/>
  <c r="K52" i="42" s="1"/>
  <c r="E596" i="47"/>
  <c r="Q596" i="47" s="1"/>
  <c r="I52" i="42"/>
  <c r="BO593" i="47"/>
  <c r="AW593" i="47"/>
  <c r="AA600" i="47"/>
  <c r="AY597" i="47"/>
  <c r="BC597" i="47"/>
  <c r="BN597" i="47"/>
  <c r="Z597" i="47"/>
  <c r="BU593" i="47"/>
  <c r="Y601" i="47"/>
  <c r="BV593" i="47"/>
  <c r="AC596" i="47"/>
  <c r="AW601" i="47"/>
  <c r="BL600" i="47"/>
  <c r="AL600" i="47"/>
  <c r="AY600" i="47"/>
  <c r="AM593" i="47"/>
  <c r="BR593" i="47"/>
  <c r="BP593" i="47"/>
  <c r="BM593" i="47"/>
  <c r="AE600" i="47"/>
  <c r="W600" i="47"/>
  <c r="BF596" i="47"/>
  <c r="BE600" i="47"/>
  <c r="BA596" i="47"/>
  <c r="BA597" i="47"/>
  <c r="W597" i="47"/>
  <c r="AW597" i="47"/>
  <c r="Y597" i="47"/>
  <c r="AA597" i="47"/>
  <c r="Q597" i="47"/>
  <c r="B609" i="47"/>
  <c r="C615" i="47"/>
  <c r="K610" i="47"/>
  <c r="H177" i="47"/>
  <c r="M616" i="47"/>
  <c r="H615" i="47"/>
  <c r="BD600" i="47"/>
  <c r="BP600" i="47"/>
  <c r="AQ600" i="47"/>
  <c r="AL593" i="47"/>
  <c r="AD593" i="47"/>
  <c r="AE593" i="47" s="1"/>
  <c r="BJ593" i="47"/>
  <c r="BL601" i="47"/>
  <c r="AK600" i="47"/>
  <c r="AO600" i="47"/>
  <c r="AD600" i="47"/>
  <c r="BM596" i="47"/>
  <c r="BJ596" i="47"/>
  <c r="BI597" i="47"/>
  <c r="AE597" i="47"/>
  <c r="AD597" i="47"/>
  <c r="BM597" i="47"/>
  <c r="AO597" i="47"/>
  <c r="T597" i="47"/>
  <c r="N615" i="47"/>
  <c r="K616" i="47"/>
  <c r="K622" i="47"/>
  <c r="K336" i="47"/>
  <c r="E333" i="47"/>
  <c r="D233" i="47"/>
  <c r="H569" i="47"/>
  <c r="M618" i="47"/>
  <c r="Z591" i="47"/>
  <c r="G337" i="47"/>
  <c r="BC591" i="47"/>
  <c r="BO596" i="47"/>
  <c r="AD596" i="47"/>
  <c r="AG601" i="47"/>
  <c r="BI601" i="47"/>
  <c r="BD591" i="47"/>
  <c r="AL591" i="47"/>
  <c r="AZ591" i="47"/>
  <c r="AJ601" i="47"/>
  <c r="BF591" i="47"/>
  <c r="AO599" i="47"/>
  <c r="BT601" i="47"/>
  <c r="BB601" i="47"/>
  <c r="BV599" i="47"/>
  <c r="AS595" i="47"/>
  <c r="AK595" i="47"/>
  <c r="AC595" i="47"/>
  <c r="AI596" i="47"/>
  <c r="BQ595" i="47"/>
  <c r="AY595" i="47"/>
  <c r="AR601" i="47"/>
  <c r="BR599" i="47"/>
  <c r="AZ599" i="47"/>
  <c r="AI599" i="47"/>
  <c r="AK596" i="47"/>
  <c r="BN596" i="47"/>
  <c r="BE596" i="47"/>
  <c r="AV596" i="47"/>
  <c r="AM596" i="47"/>
  <c r="AW595" i="47"/>
  <c r="AM591" i="47"/>
  <c r="B622" i="47"/>
  <c r="B156" i="47"/>
  <c r="G159" i="47" s="1"/>
  <c r="N622" i="47"/>
  <c r="G620" i="47"/>
  <c r="G336" i="47"/>
  <c r="AU601" i="47"/>
  <c r="AB596" i="47"/>
  <c r="AM599" i="47"/>
  <c r="AE601" i="47"/>
  <c r="AN591" i="47"/>
  <c r="BI591" i="47"/>
  <c r="AJ591" i="47"/>
  <c r="BF595" i="47"/>
  <c r="BU599" i="47"/>
  <c r="BD601" i="47"/>
  <c r="AL601" i="47"/>
  <c r="AZ601" i="47"/>
  <c r="AQ595" i="47"/>
  <c r="AI595" i="47"/>
  <c r="AA595" i="47"/>
  <c r="BA601" i="47"/>
  <c r="BL595" i="47"/>
  <c r="BA595" i="47"/>
  <c r="BS591" i="47"/>
  <c r="BQ601" i="47"/>
  <c r="BT599" i="47"/>
  <c r="BB599" i="47"/>
  <c r="AJ599" i="47"/>
  <c r="AU591" i="47"/>
  <c r="BP596" i="47"/>
  <c r="AX596" i="47"/>
  <c r="AO596" i="47"/>
  <c r="AF596" i="47"/>
  <c r="AL596" i="47"/>
  <c r="BM601" i="47"/>
  <c r="BU595" i="47"/>
  <c r="B627" i="47"/>
  <c r="N620" i="47"/>
  <c r="K627" i="47"/>
  <c r="D334" i="47"/>
  <c r="I334" i="47" s="1"/>
  <c r="D25" i="47"/>
  <c r="C61" i="47" s="1"/>
  <c r="G335" i="47"/>
  <c r="BH601" i="47"/>
  <c r="BF599" i="47"/>
  <c r="AA596" i="47"/>
  <c r="BC599" i="47"/>
  <c r="AD601" i="47"/>
  <c r="W591" i="47"/>
  <c r="BA591" i="47"/>
  <c r="BO591" i="47"/>
  <c r="AE591" i="47"/>
  <c r="AF591" i="47" s="1"/>
  <c r="AG591" i="47" s="1"/>
  <c r="AH591" i="47" s="1"/>
  <c r="AY596" i="47"/>
  <c r="BV601" i="47"/>
  <c r="AV601" i="47"/>
  <c r="X601" i="47"/>
  <c r="AP591" i="47"/>
  <c r="AP595" i="47"/>
  <c r="AH595" i="47"/>
  <c r="Z595" i="47"/>
  <c r="BO601" i="47"/>
  <c r="BD595" i="47"/>
  <c r="BP595" i="47"/>
  <c r="BL599" i="47"/>
  <c r="AT599" i="47"/>
  <c r="AB599" i="47"/>
  <c r="BN591" i="47"/>
  <c r="BH596" i="47"/>
  <c r="AP596" i="47"/>
  <c r="AG596" i="47"/>
  <c r="X596" i="47"/>
  <c r="AG599" i="47"/>
  <c r="AO591" i="47"/>
  <c r="BS595" i="47"/>
  <c r="AM601" i="47"/>
  <c r="B620" i="47"/>
  <c r="B628" i="47"/>
  <c r="C149" i="47"/>
  <c r="M620" i="47"/>
  <c r="M619" i="47"/>
  <c r="M624" i="47"/>
  <c r="AK599" i="47"/>
  <c r="BU601" i="47"/>
  <c r="BS601" i="47"/>
  <c r="AT596" i="47"/>
  <c r="BS599" i="47"/>
  <c r="AC601" i="47"/>
  <c r="BR591" i="47"/>
  <c r="AS591" i="47"/>
  <c r="BG591" i="47"/>
  <c r="AD591" i="47"/>
  <c r="BK591" i="47"/>
  <c r="BR596" i="47"/>
  <c r="BN601" i="47"/>
  <c r="AN601" i="47"/>
  <c r="AS601" i="47"/>
  <c r="BM591" i="47"/>
  <c r="AO595" i="47"/>
  <c r="AG595" i="47"/>
  <c r="Y595" i="47"/>
  <c r="AC599" i="47"/>
  <c r="AV595" i="47"/>
  <c r="BH595" i="47"/>
  <c r="BD599" i="47"/>
  <c r="AL599" i="47"/>
  <c r="BO599" i="47"/>
  <c r="AU599" i="47"/>
  <c r="AZ596" i="47"/>
  <c r="AH596" i="47"/>
  <c r="Y596" i="47"/>
  <c r="BS596" i="47"/>
  <c r="BM599" i="47"/>
  <c r="BK595" i="47"/>
  <c r="H622" i="47"/>
  <c r="M617" i="47"/>
  <c r="N627" i="47"/>
  <c r="C627" i="47"/>
  <c r="C620" i="47"/>
  <c r="M621" i="47"/>
  <c r="M614" i="47"/>
  <c r="X591" i="47"/>
  <c r="BC595" i="47"/>
  <c r="BA599" i="47"/>
  <c r="BE591" i="47"/>
  <c r="BQ596" i="47"/>
  <c r="AB601" i="47"/>
  <c r="BJ591" i="47"/>
  <c r="AK591" i="47"/>
  <c r="AY591" i="47"/>
  <c r="AC591" i="47"/>
  <c r="AI601" i="47"/>
  <c r="BF601" i="47"/>
  <c r="Z601" i="47"/>
  <c r="AK601" i="47"/>
  <c r="AN595" i="47"/>
  <c r="AF595" i="47"/>
  <c r="X595" i="47"/>
  <c r="AS599" i="47"/>
  <c r="BR595" i="47"/>
  <c r="AZ595" i="47"/>
  <c r="AH599" i="47"/>
  <c r="AV599" i="47"/>
  <c r="AD599" i="47"/>
  <c r="BG599" i="47"/>
  <c r="BK599" i="47"/>
  <c r="AO601" i="47"/>
  <c r="AR596" i="47"/>
  <c r="Z596" i="47"/>
  <c r="BT596" i="47"/>
  <c r="BK596" i="47"/>
  <c r="AX595" i="47"/>
  <c r="C628" i="47"/>
  <c r="N628" i="47"/>
  <c r="C622" i="47"/>
  <c r="M623" i="47"/>
  <c r="K628" i="47"/>
  <c r="BV595" i="47"/>
  <c r="BQ599" i="47"/>
  <c r="BE595" i="47"/>
  <c r="AA601" i="47"/>
  <c r="BT591" i="47"/>
  <c r="BB591" i="47"/>
  <c r="BP591" i="47"/>
  <c r="AQ591" i="47"/>
  <c r="AY601" i="47"/>
  <c r="AX601" i="47"/>
  <c r="BR601" i="47"/>
  <c r="W601" i="47"/>
  <c r="AU595" i="47"/>
  <c r="AM595" i="47"/>
  <c r="AE595" i="47"/>
  <c r="W595" i="47"/>
  <c r="BI599" i="47"/>
  <c r="BJ595" i="47"/>
  <c r="AW599" i="47"/>
  <c r="AX599" i="47"/>
  <c r="AN599" i="47"/>
  <c r="BP599" i="47"/>
  <c r="BC601" i="47"/>
  <c r="AJ596" i="47"/>
  <c r="BU596" i="47"/>
  <c r="BL596" i="47"/>
  <c r="BC596" i="47"/>
  <c r="AQ601" i="47"/>
  <c r="AQ596" i="47"/>
  <c r="D573" i="47"/>
  <c r="F320" i="47"/>
  <c r="H320" i="47" s="1"/>
  <c r="D321" i="47"/>
  <c r="H176" i="47"/>
  <c r="F23" i="41" s="1"/>
  <c r="D235" i="47"/>
  <c r="F624" i="47" s="1"/>
  <c r="E594" i="47"/>
  <c r="Q594" i="47" s="1"/>
  <c r="G624" i="47"/>
  <c r="G612" i="47"/>
  <c r="G619" i="47"/>
  <c r="D231" i="47"/>
  <c r="C418" i="47"/>
  <c r="C421" i="47"/>
  <c r="C419" i="47"/>
  <c r="P419" i="47" s="1"/>
  <c r="H178" i="47"/>
  <c r="L178" i="47" s="1"/>
  <c r="G613" i="47"/>
  <c r="E398" i="47"/>
  <c r="I422" i="47" s="1"/>
  <c r="G621" i="47"/>
  <c r="G616" i="47"/>
  <c r="E396" i="47"/>
  <c r="I420" i="47" s="1"/>
  <c r="G618" i="47"/>
  <c r="G623" i="47"/>
  <c r="G622" i="47"/>
  <c r="G617" i="47"/>
  <c r="D232" i="47"/>
  <c r="F622" i="47" s="1"/>
  <c r="E397" i="47"/>
  <c r="I421" i="47" s="1"/>
  <c r="F612" i="47"/>
  <c r="D234" i="47"/>
  <c r="F623" i="47" s="1"/>
  <c r="F621" i="47"/>
  <c r="F322" i="47"/>
  <c r="H322" i="47" s="1"/>
  <c r="D331" i="47"/>
  <c r="I331" i="47" s="1"/>
  <c r="D333" i="47"/>
  <c r="I333" i="47" s="1"/>
  <c r="C420" i="47"/>
  <c r="P420" i="47" s="1"/>
  <c r="B420" i="47"/>
  <c r="B422" i="47"/>
  <c r="H179" i="47"/>
  <c r="E330" i="47"/>
  <c r="E328" i="47"/>
  <c r="C422" i="47"/>
  <c r="P422" i="47" s="1"/>
  <c r="E593" i="47"/>
  <c r="F615" i="47"/>
  <c r="G615" i="47"/>
  <c r="F614" i="47"/>
  <c r="F321" i="47"/>
  <c r="H321" i="47" s="1"/>
  <c r="D330" i="47"/>
  <c r="I330" i="47" s="1"/>
  <c r="F616" i="47"/>
  <c r="D332" i="47"/>
  <c r="I332" i="47" s="1"/>
  <c r="C417" i="47"/>
  <c r="P417" i="47" s="1"/>
  <c r="F27" i="41"/>
  <c r="D329" i="47"/>
  <c r="I179" i="47"/>
  <c r="G26" i="41" s="1"/>
  <c r="F613" i="47"/>
  <c r="G614" i="47"/>
  <c r="D320" i="47"/>
  <c r="E332" i="47"/>
  <c r="D322" i="47"/>
  <c r="I322" i="47" s="1"/>
  <c r="E329" i="47"/>
  <c r="E331" i="47"/>
  <c r="F618" i="47"/>
  <c r="F620" i="47"/>
  <c r="T159" i="46"/>
  <c r="V160" i="46"/>
  <c r="Y162" i="46"/>
  <c r="W161" i="46"/>
  <c r="U162" i="46"/>
  <c r="W159" i="46"/>
  <c r="V159" i="46"/>
  <c r="Y163" i="46"/>
  <c r="T164" i="46"/>
  <c r="T160" i="46"/>
  <c r="U161" i="46"/>
  <c r="X163" i="46"/>
  <c r="T161" i="46"/>
  <c r="T162" i="46"/>
  <c r="X160" i="46"/>
  <c r="B146" i="46"/>
  <c r="C146" i="46" s="1"/>
  <c r="W164" i="46"/>
  <c r="Y161" i="46"/>
  <c r="V164" i="46"/>
  <c r="U163" i="46"/>
  <c r="C128" i="46"/>
  <c r="D128" i="46" s="1"/>
  <c r="U164" i="46"/>
  <c r="T163" i="46"/>
  <c r="Y160" i="46"/>
  <c r="X162" i="46"/>
  <c r="X161" i="46"/>
  <c r="W160" i="46"/>
  <c r="B131" i="46"/>
  <c r="C131" i="46" s="1"/>
  <c r="D131" i="46" s="1"/>
  <c r="Y164" i="46"/>
  <c r="W162" i="46"/>
  <c r="X164" i="46"/>
  <c r="V162" i="46"/>
  <c r="V161" i="46"/>
  <c r="B141" i="46"/>
  <c r="C141" i="46" s="1"/>
  <c r="D141" i="46" s="1"/>
  <c r="X159" i="46"/>
  <c r="W163" i="46"/>
  <c r="U160" i="46"/>
  <c r="V163" i="46"/>
  <c r="D28" i="47"/>
  <c r="E67" i="47" s="1"/>
  <c r="F34" i="45"/>
  <c r="I34" i="45" s="1"/>
  <c r="J34" i="45" s="1"/>
  <c r="D133" i="46"/>
  <c r="F36" i="45"/>
  <c r="I36" i="45" s="1"/>
  <c r="J36" i="45" s="1"/>
  <c r="D135" i="46"/>
  <c r="C147" i="46"/>
  <c r="F28" i="45"/>
  <c r="I28" i="45" s="1"/>
  <c r="J28" i="45" s="1"/>
  <c r="B139" i="46"/>
  <c r="C139" i="46" s="1"/>
  <c r="D139" i="46" s="1"/>
  <c r="B142" i="46"/>
  <c r="C142" i="46" s="1"/>
  <c r="F43" i="45" s="1"/>
  <c r="I43" i="45" s="1"/>
  <c r="J43" i="45" s="1"/>
  <c r="C25" i="47"/>
  <c r="D138" i="46"/>
  <c r="F39" i="45"/>
  <c r="I39" i="45" s="1"/>
  <c r="J39" i="45" s="1"/>
  <c r="H10" i="46" a="1"/>
  <c r="F31" i="45"/>
  <c r="I31" i="45" s="1"/>
  <c r="D130" i="46"/>
  <c r="F33" i="45"/>
  <c r="I33" i="45" s="1"/>
  <c r="D132" i="46"/>
  <c r="F38" i="45"/>
  <c r="D137" i="46"/>
  <c r="D134" i="46"/>
  <c r="F35" i="45"/>
  <c r="I35" i="45" s="1"/>
  <c r="J35" i="45" s="1"/>
  <c r="D112" i="46"/>
  <c r="B114" i="46" s="1"/>
  <c r="B116" i="46" s="1"/>
  <c r="D136" i="46"/>
  <c r="C129" i="46"/>
  <c r="B140" i="46"/>
  <c r="C140" i="46" s="1"/>
  <c r="D21" i="47"/>
  <c r="F124" i="47"/>
  <c r="I124" i="47" s="1"/>
  <c r="H452" i="47"/>
  <c r="F454" i="47"/>
  <c r="C598" i="47" s="1"/>
  <c r="N418" i="47" l="1"/>
  <c r="D418" i="47" s="1"/>
  <c r="P418" i="47"/>
  <c r="N421" i="47"/>
  <c r="D421" i="47" s="1"/>
  <c r="P421" i="47"/>
  <c r="F330" i="47"/>
  <c r="H330" i="47" s="1"/>
  <c r="F333" i="47"/>
  <c r="H333" i="47" s="1"/>
  <c r="F329" i="47"/>
  <c r="H329" i="47" s="1"/>
  <c r="F331" i="47"/>
  <c r="H331" i="47" s="1"/>
  <c r="F334" i="47"/>
  <c r="H334" i="47" s="1"/>
  <c r="F332" i="47"/>
  <c r="H332" i="47" s="1"/>
  <c r="O526" i="47"/>
  <c r="K178" i="47"/>
  <c r="L175" i="47"/>
  <c r="C536" i="47"/>
  <c r="D536" i="47" s="1"/>
  <c r="J31" i="45"/>
  <c r="G175" i="47"/>
  <c r="K175" i="47" s="1"/>
  <c r="I230" i="47" s="1"/>
  <c r="D47" i="46"/>
  <c r="B47" i="46"/>
  <c r="J33" i="45"/>
  <c r="E395" i="47" s="1"/>
  <c r="I419" i="47" s="1"/>
  <c r="B160" i="46"/>
  <c r="D161" i="46"/>
  <c r="F162" i="46"/>
  <c r="B164" i="46"/>
  <c r="E159" i="46"/>
  <c r="C160" i="46"/>
  <c r="E161" i="46"/>
  <c r="G162" i="46"/>
  <c r="C164" i="46"/>
  <c r="F159" i="46"/>
  <c r="D160" i="46"/>
  <c r="F161" i="46"/>
  <c r="B163" i="46"/>
  <c r="D164" i="46"/>
  <c r="G159" i="46"/>
  <c r="E160" i="46"/>
  <c r="G161" i="46"/>
  <c r="C163" i="46"/>
  <c r="E164" i="46"/>
  <c r="B159" i="46"/>
  <c r="F160" i="46"/>
  <c r="B162" i="46"/>
  <c r="D163" i="46"/>
  <c r="F164" i="46"/>
  <c r="G160" i="46"/>
  <c r="C162" i="46"/>
  <c r="E163" i="46"/>
  <c r="G164" i="46"/>
  <c r="B161" i="46"/>
  <c r="D162" i="46"/>
  <c r="F163" i="46"/>
  <c r="C159" i="46"/>
  <c r="C161" i="46"/>
  <c r="E162" i="46"/>
  <c r="G163" i="46"/>
  <c r="D159" i="46"/>
  <c r="Q598" i="47"/>
  <c r="Q601" i="47"/>
  <c r="C199" i="47"/>
  <c r="D236" i="47" s="1"/>
  <c r="T601" i="47"/>
  <c r="L502" i="47"/>
  <c r="S595" i="47"/>
  <c r="D622" i="47"/>
  <c r="T595" i="47"/>
  <c r="Q595" i="47"/>
  <c r="U595" i="47"/>
  <c r="D199" i="47"/>
  <c r="D237" i="47" s="1"/>
  <c r="F610" i="47" s="1"/>
  <c r="D620" i="47"/>
  <c r="K614" i="47"/>
  <c r="K633" i="47" s="1"/>
  <c r="L52" i="42" s="1"/>
  <c r="T596" i="47"/>
  <c r="S601" i="47"/>
  <c r="D613" i="47"/>
  <c r="O594" i="47"/>
  <c r="C17" i="47"/>
  <c r="D17" i="47" s="1"/>
  <c r="B61" i="47" s="1"/>
  <c r="D84" i="47" s="1"/>
  <c r="J84" i="47" s="1"/>
  <c r="D619" i="47"/>
  <c r="U601" i="47"/>
  <c r="Q599" i="47"/>
  <c r="T599" i="47"/>
  <c r="R590" i="47"/>
  <c r="J52" i="42"/>
  <c r="D571" i="47"/>
  <c r="S596" i="47"/>
  <c r="L453" i="47"/>
  <c r="M453" i="47" s="1"/>
  <c r="R596" i="47"/>
  <c r="R594" i="47"/>
  <c r="U596" i="47"/>
  <c r="G199" i="47"/>
  <c r="D240" i="47" s="1"/>
  <c r="I240" i="47" s="1"/>
  <c r="F199" i="47"/>
  <c r="D239" i="47" s="1"/>
  <c r="I239" i="47" s="1"/>
  <c r="R599" i="47"/>
  <c r="H199" i="47"/>
  <c r="D241" i="47" s="1"/>
  <c r="I241" i="47" s="1"/>
  <c r="M594" i="47"/>
  <c r="K159" i="47"/>
  <c r="S599" i="47"/>
  <c r="L590" i="47"/>
  <c r="F619" i="47"/>
  <c r="D614" i="47"/>
  <c r="R598" i="47"/>
  <c r="S598" i="47"/>
  <c r="N598" i="47"/>
  <c r="O590" i="47"/>
  <c r="M590" i="47"/>
  <c r="K160" i="47"/>
  <c r="Q600" i="47"/>
  <c r="J55" i="42"/>
  <c r="M598" i="47"/>
  <c r="H88" i="48" s="1"/>
  <c r="N594" i="47"/>
  <c r="T598" i="47"/>
  <c r="D612" i="47"/>
  <c r="D627" i="47"/>
  <c r="P594" i="47"/>
  <c r="L598" i="47"/>
  <c r="O598" i="47"/>
  <c r="L594" i="47"/>
  <c r="D626" i="47"/>
  <c r="D615" i="47"/>
  <c r="G160" i="47"/>
  <c r="G163" i="47" s="1"/>
  <c r="P590" i="47"/>
  <c r="U591" i="47"/>
  <c r="N593" i="47"/>
  <c r="P598" i="47"/>
  <c r="K88" i="48" s="1"/>
  <c r="Q591" i="47"/>
  <c r="E199" i="47"/>
  <c r="J633" i="47"/>
  <c r="J634" i="47" s="1"/>
  <c r="U590" i="47"/>
  <c r="R591" i="47"/>
  <c r="Q590" i="47"/>
  <c r="L176" i="47"/>
  <c r="O418" i="47"/>
  <c r="S591" i="47"/>
  <c r="U600" i="47"/>
  <c r="S590" i="47"/>
  <c r="I242" i="47"/>
  <c r="S600" i="47"/>
  <c r="O600" i="47"/>
  <c r="O593" i="47"/>
  <c r="L593" i="47"/>
  <c r="O421" i="47"/>
  <c r="N629" i="47"/>
  <c r="R600" i="47"/>
  <c r="M593" i="47"/>
  <c r="N590" i="47"/>
  <c r="M600" i="47"/>
  <c r="P593" i="47"/>
  <c r="L600" i="47"/>
  <c r="N600" i="47"/>
  <c r="P601" i="47"/>
  <c r="L177" i="47"/>
  <c r="F24" i="41"/>
  <c r="P600" i="47"/>
  <c r="D610" i="47"/>
  <c r="D624" i="47"/>
  <c r="D623" i="47"/>
  <c r="D618" i="47"/>
  <c r="D621" i="47"/>
  <c r="D625" i="47"/>
  <c r="D617" i="47"/>
  <c r="G591" i="47"/>
  <c r="G44" i="40" s="1"/>
  <c r="D611" i="47"/>
  <c r="K44" i="40" s="1"/>
  <c r="D572" i="47"/>
  <c r="M610" i="47" s="1"/>
  <c r="O595" i="47"/>
  <c r="O596" i="47"/>
  <c r="O601" i="47"/>
  <c r="L596" i="47"/>
  <c r="K338" i="47"/>
  <c r="K340" i="47" s="1"/>
  <c r="N596" i="47"/>
  <c r="O599" i="47"/>
  <c r="M595" i="47"/>
  <c r="M591" i="47"/>
  <c r="N595" i="47"/>
  <c r="N633" i="47"/>
  <c r="L55" i="42" s="1"/>
  <c r="L601" i="47"/>
  <c r="P596" i="47"/>
  <c r="D575" i="47"/>
  <c r="I575" i="47" s="1"/>
  <c r="N599" i="47"/>
  <c r="L591" i="47"/>
  <c r="M601" i="47"/>
  <c r="H90" i="48" s="1"/>
  <c r="O591" i="47"/>
  <c r="D576" i="47"/>
  <c r="I576" i="47" s="1"/>
  <c r="M596" i="47"/>
  <c r="L599" i="47"/>
  <c r="E633" i="47"/>
  <c r="E634" i="47" s="1"/>
  <c r="P591" i="47"/>
  <c r="L595" i="47"/>
  <c r="P595" i="47"/>
  <c r="N591" i="47"/>
  <c r="N601" i="47"/>
  <c r="D574" i="47"/>
  <c r="P599" i="47"/>
  <c r="M599" i="47"/>
  <c r="M179" i="47"/>
  <c r="T594" i="47"/>
  <c r="I617" i="47"/>
  <c r="U594" i="47"/>
  <c r="I616" i="47"/>
  <c r="F25" i="41"/>
  <c r="S594" i="47"/>
  <c r="N419" i="47"/>
  <c r="D419" i="47" s="1"/>
  <c r="I614" i="47" s="1"/>
  <c r="O419" i="47"/>
  <c r="I611" i="47"/>
  <c r="K76" i="41" s="1"/>
  <c r="I610" i="47"/>
  <c r="I623" i="47"/>
  <c r="O422" i="47"/>
  <c r="N422" i="47"/>
  <c r="D422" i="47" s="1"/>
  <c r="I612" i="47"/>
  <c r="I620" i="47"/>
  <c r="I624" i="47"/>
  <c r="O417" i="47"/>
  <c r="N417" i="47"/>
  <c r="D417" i="47" s="1"/>
  <c r="I613" i="47"/>
  <c r="O420" i="47"/>
  <c r="N420" i="47"/>
  <c r="D420" i="47" s="1"/>
  <c r="I621" i="47"/>
  <c r="I615" i="47"/>
  <c r="I619" i="47"/>
  <c r="R593" i="47"/>
  <c r="U593" i="47"/>
  <c r="S593" i="47"/>
  <c r="T593" i="47"/>
  <c r="Q593" i="47"/>
  <c r="I618" i="47"/>
  <c r="I622" i="47"/>
  <c r="L179" i="47"/>
  <c r="F26" i="41"/>
  <c r="F617" i="47"/>
  <c r="T34" i="46"/>
  <c r="N34" i="46"/>
  <c r="F32" i="45"/>
  <c r="I32" i="45" s="1"/>
  <c r="J32" i="45" s="1"/>
  <c r="J83" i="47"/>
  <c r="F29" i="45"/>
  <c r="I29" i="45" s="1"/>
  <c r="J29" i="45" s="1"/>
  <c r="F42" i="45"/>
  <c r="K179" i="47" s="1"/>
  <c r="J88" i="47"/>
  <c r="I321" i="47"/>
  <c r="I328" i="47"/>
  <c r="E393" i="47"/>
  <c r="I417" i="47" s="1"/>
  <c r="F40" i="45"/>
  <c r="I40" i="45" s="1"/>
  <c r="J40" i="45" s="1"/>
  <c r="D142" i="46"/>
  <c r="I38" i="45"/>
  <c r="J38" i="45" s="1"/>
  <c r="K176" i="47"/>
  <c r="K180" i="47"/>
  <c r="I235" i="47" s="1"/>
  <c r="D129" i="46"/>
  <c r="F30" i="45"/>
  <c r="I30" i="45" s="1"/>
  <c r="J30" i="45" s="1"/>
  <c r="H10" i="46"/>
  <c r="J8" i="46" s="1"/>
  <c r="D140" i="46"/>
  <c r="F41" i="45"/>
  <c r="C114" i="46"/>
  <c r="E142" i="46"/>
  <c r="C41" i="47"/>
  <c r="D41" i="47" s="1"/>
  <c r="D71" i="47" s="1"/>
  <c r="C33" i="47"/>
  <c r="C34" i="47"/>
  <c r="C38" i="47"/>
  <c r="C45" i="47"/>
  <c r="D45" i="47" s="1"/>
  <c r="D74" i="47" s="1"/>
  <c r="H454" i="47"/>
  <c r="C52" i="42"/>
  <c r="D238" i="47" l="1"/>
  <c r="F611" i="47" s="1"/>
  <c r="K73" i="41" s="1"/>
  <c r="G90" i="48"/>
  <c r="I452" i="47"/>
  <c r="I454" i="47" s="1"/>
  <c r="AA165" i="46"/>
  <c r="B154" i="46" s="1"/>
  <c r="B49" i="46"/>
  <c r="B48" i="46"/>
  <c r="E8" i="46"/>
  <c r="E9" i="46"/>
  <c r="D49" i="46"/>
  <c r="E10" i="46"/>
  <c r="E7" i="46"/>
  <c r="D48" i="46"/>
  <c r="G88" i="48"/>
  <c r="K90" i="48"/>
  <c r="I90" i="48"/>
  <c r="J90" i="48"/>
  <c r="K629" i="47"/>
  <c r="K634" i="47" s="1"/>
  <c r="M52" i="42" s="1"/>
  <c r="I236" i="47"/>
  <c r="F609" i="47"/>
  <c r="J73" i="41" s="1"/>
  <c r="J88" i="48"/>
  <c r="I237" i="47"/>
  <c r="I571" i="47"/>
  <c r="D81" i="47"/>
  <c r="J81" i="47" s="1"/>
  <c r="K163" i="47"/>
  <c r="D82" i="47"/>
  <c r="J82" i="47" s="1"/>
  <c r="F628" i="47"/>
  <c r="F626" i="47"/>
  <c r="I88" i="48"/>
  <c r="F627" i="47"/>
  <c r="F625" i="47"/>
  <c r="M625" i="47"/>
  <c r="I574" i="47"/>
  <c r="M626" i="47"/>
  <c r="M627" i="47"/>
  <c r="M628" i="47"/>
  <c r="N634" i="47"/>
  <c r="M55" i="42" s="1"/>
  <c r="I628" i="47"/>
  <c r="I625" i="47"/>
  <c r="I627" i="47"/>
  <c r="D423" i="47"/>
  <c r="I609" i="47"/>
  <c r="I626" i="47"/>
  <c r="J93" i="47"/>
  <c r="C535" i="47"/>
  <c r="D535" i="47" s="1"/>
  <c r="I243" i="47"/>
  <c r="I572" i="47"/>
  <c r="I578" i="47"/>
  <c r="I377" i="47"/>
  <c r="I42" i="45"/>
  <c r="I231" i="47"/>
  <c r="I233" i="47"/>
  <c r="I8" i="46"/>
  <c r="K8" i="46"/>
  <c r="G54" i="45"/>
  <c r="C116" i="46"/>
  <c r="C30" i="47" s="1"/>
  <c r="D30" i="47" s="1"/>
  <c r="I320" i="47"/>
  <c r="I238" i="47"/>
  <c r="I244" i="47"/>
  <c r="I573" i="47"/>
  <c r="I329" i="47"/>
  <c r="E394" i="47"/>
  <c r="I418" i="47" s="1"/>
  <c r="I423" i="47" s="1"/>
  <c r="I41" i="45"/>
  <c r="J41" i="45" s="1"/>
  <c r="K177" i="47"/>
  <c r="C39" i="47"/>
  <c r="D38" i="47"/>
  <c r="D39" i="47" s="1"/>
  <c r="C35" i="47"/>
  <c r="D34" i="47"/>
  <c r="D35" i="47" s="1"/>
  <c r="D33" i="47"/>
  <c r="C37" i="47"/>
  <c r="D246" i="47" l="1"/>
  <c r="L452" i="47"/>
  <c r="L454" i="47" s="1"/>
  <c r="D598" i="47" s="1"/>
  <c r="I110" i="48" s="1"/>
  <c r="I234" i="47"/>
  <c r="J42" i="45"/>
  <c r="F629" i="47"/>
  <c r="F633" i="47"/>
  <c r="L73" i="41" s="1"/>
  <c r="I629" i="47"/>
  <c r="J76" i="41"/>
  <c r="I633" i="47"/>
  <c r="L76" i="41" s="1"/>
  <c r="K54" i="45"/>
  <c r="G64" i="45"/>
  <c r="K64" i="45" s="1"/>
  <c r="G60" i="45"/>
  <c r="K60" i="45" s="1"/>
  <c r="G67" i="45"/>
  <c r="K67" i="45" s="1"/>
  <c r="G63" i="45"/>
  <c r="K63" i="45" s="1"/>
  <c r="G61" i="45"/>
  <c r="K61" i="45" s="1"/>
  <c r="G57" i="45"/>
  <c r="K57" i="45" s="1"/>
  <c r="G66" i="45"/>
  <c r="K66" i="45" s="1"/>
  <c r="G58" i="45"/>
  <c r="K58" i="45" s="1"/>
  <c r="G62" i="45"/>
  <c r="K62" i="45" s="1"/>
  <c r="G59" i="45"/>
  <c r="K59" i="45" s="1"/>
  <c r="G65" i="45"/>
  <c r="K65" i="45" s="1"/>
  <c r="F502" i="47" s="1"/>
  <c r="H502" i="47" s="1"/>
  <c r="M502" i="47" s="1"/>
  <c r="G55" i="45"/>
  <c r="K55" i="45" s="1"/>
  <c r="D67" i="47"/>
  <c r="D66" i="47"/>
  <c r="D37" i="47"/>
  <c r="H110" i="48" l="1"/>
  <c r="G110" i="48"/>
  <c r="D52" i="42"/>
  <c r="E52" i="42" s="1"/>
  <c r="M452" i="47"/>
  <c r="M454" i="47" s="1"/>
  <c r="J110" i="48"/>
  <c r="K110" i="48"/>
  <c r="F634" i="47"/>
  <c r="M73" i="41" s="1"/>
  <c r="I634" i="47"/>
  <c r="M76" i="41" s="1"/>
  <c r="J14" i="45"/>
  <c r="Q14" i="45" s="1"/>
  <c r="M17" i="45"/>
  <c r="T17" i="45" s="1"/>
  <c r="I17" i="45"/>
  <c r="P17" i="45" s="1"/>
  <c r="K15" i="45"/>
  <c r="R15" i="45" s="1"/>
  <c r="J13" i="45"/>
  <c r="Q13" i="45" s="1"/>
  <c r="J12" i="45"/>
  <c r="Q12" i="45" s="1"/>
  <c r="I232" i="47"/>
  <c r="I246" i="47" s="1"/>
  <c r="I175" i="47"/>
  <c r="F328" i="47"/>
  <c r="D147" i="47"/>
  <c r="F122" i="47"/>
  <c r="I122" i="47" s="1"/>
  <c r="G84" i="47"/>
  <c r="I84" i="47" s="1"/>
  <c r="F123" i="47"/>
  <c r="I123" i="47" s="1"/>
  <c r="F377" i="47"/>
  <c r="H377" i="47" s="1"/>
  <c r="I177" i="47"/>
  <c r="I178" i="47"/>
  <c r="I176" i="47"/>
  <c r="F125" i="47"/>
  <c r="I125" i="47" s="1"/>
  <c r="D149" i="47" s="1"/>
  <c r="I180" i="47"/>
  <c r="D70" i="47"/>
  <c r="D69" i="47"/>
  <c r="K14" i="45" l="1"/>
  <c r="R14" i="45" s="1"/>
  <c r="N17" i="45"/>
  <c r="U17" i="45" s="1"/>
  <c r="N14" i="45"/>
  <c r="U14" i="45" s="1"/>
  <c r="L16" i="45"/>
  <c r="S16" i="45" s="1"/>
  <c r="L14" i="45"/>
  <c r="S14" i="45" s="1"/>
  <c r="K12" i="45"/>
  <c r="R12" i="45" s="1"/>
  <c r="N12" i="45"/>
  <c r="U12" i="45" s="1"/>
  <c r="K13" i="45"/>
  <c r="R13" i="45" s="1"/>
  <c r="J17" i="45"/>
  <c r="Q17" i="45" s="1"/>
  <c r="I15" i="45"/>
  <c r="P15" i="45" s="1"/>
  <c r="L17" i="45"/>
  <c r="S17" i="45" s="1"/>
  <c r="N15" i="45"/>
  <c r="U15" i="45" s="1"/>
  <c r="M14" i="45"/>
  <c r="T14" i="45" s="1"/>
  <c r="M12" i="45"/>
  <c r="T12" i="45" s="1"/>
  <c r="K17" i="45"/>
  <c r="R17" i="45" s="1"/>
  <c r="K16" i="45"/>
  <c r="R16" i="45" s="1"/>
  <c r="I13" i="45"/>
  <c r="P13" i="45" s="1"/>
  <c r="L12" i="45"/>
  <c r="S12" i="45" s="1"/>
  <c r="L13" i="45"/>
  <c r="S13" i="45" s="1"/>
  <c r="M13" i="45"/>
  <c r="T13" i="45" s="1"/>
  <c r="N16" i="45"/>
  <c r="U16" i="45" s="1"/>
  <c r="L15" i="45"/>
  <c r="S15" i="45" s="1"/>
  <c r="J15" i="45"/>
  <c r="Q15" i="45" s="1"/>
  <c r="I14" i="45"/>
  <c r="P14" i="45" s="1"/>
  <c r="M16" i="45"/>
  <c r="T16" i="45" s="1"/>
  <c r="I16" i="45"/>
  <c r="M15" i="45"/>
  <c r="T15" i="45" s="1"/>
  <c r="J16" i="45"/>
  <c r="Q16" i="45" s="1"/>
  <c r="N13" i="45"/>
  <c r="U13" i="45" s="1"/>
  <c r="I12" i="45"/>
  <c r="P12" i="45" s="1"/>
  <c r="H328" i="47"/>
  <c r="G23" i="41"/>
  <c r="M176" i="47"/>
  <c r="M175" i="47"/>
  <c r="G22" i="41"/>
  <c r="M178" i="47"/>
  <c r="G25" i="41"/>
  <c r="G27" i="41"/>
  <c r="M180" i="47"/>
  <c r="G24" i="41"/>
  <c r="M177" i="47"/>
  <c r="D72" i="47"/>
  <c r="S18" i="45" l="1"/>
  <c r="O17" i="45"/>
  <c r="V17" i="45"/>
  <c r="L18" i="45"/>
  <c r="V13" i="45"/>
  <c r="O16" i="45"/>
  <c r="N18" i="45"/>
  <c r="V14" i="45"/>
  <c r="O12" i="45"/>
  <c r="U18" i="45"/>
  <c r="G165" i="46"/>
  <c r="P16" i="45"/>
  <c r="V16" i="45" s="1"/>
  <c r="I18" i="45"/>
  <c r="O13" i="45"/>
  <c r="R18" i="45"/>
  <c r="V15" i="45"/>
  <c r="J18" i="45"/>
  <c r="O14" i="45"/>
  <c r="M18" i="45"/>
  <c r="K18" i="45"/>
  <c r="I165" i="46"/>
  <c r="Q18" i="45"/>
  <c r="O15" i="45"/>
  <c r="T18" i="45"/>
  <c r="O165" i="46"/>
  <c r="V12" i="45"/>
  <c r="O18" i="45" l="1"/>
  <c r="P18" i="45"/>
  <c r="C83" i="45"/>
  <c r="V18" i="45"/>
  <c r="W12" i="45" l="1"/>
  <c r="E8" i="48"/>
  <c r="C140" i="45"/>
  <c r="D140" i="45" s="1"/>
  <c r="D141" i="45" s="1"/>
  <c r="E44" i="45"/>
  <c r="H44" i="45" s="1"/>
  <c r="E36" i="45"/>
  <c r="H36" i="45" s="1"/>
  <c r="E43" i="45"/>
  <c r="H43" i="45" s="1"/>
  <c r="E29" i="45"/>
  <c r="H29" i="45" s="1"/>
  <c r="E54" i="45"/>
  <c r="E40" i="45"/>
  <c r="H40" i="45" s="1"/>
  <c r="E47" i="45"/>
  <c r="H47" i="45" s="1"/>
  <c r="E39" i="45"/>
  <c r="H39" i="45" s="1"/>
  <c r="B58" i="46"/>
  <c r="E46" i="45"/>
  <c r="H46" i="45" s="1"/>
  <c r="E38" i="45"/>
  <c r="H38" i="45" s="1"/>
  <c r="C143" i="45"/>
  <c r="D143" i="45" s="1"/>
  <c r="D150" i="45" s="1"/>
  <c r="E45" i="45"/>
  <c r="H45" i="45" s="1"/>
  <c r="C348" i="47"/>
  <c r="C85" i="45"/>
  <c r="D85" i="45" s="1"/>
  <c r="E35" i="45"/>
  <c r="H35" i="45" s="1"/>
  <c r="C58" i="46"/>
  <c r="C254" i="47"/>
  <c r="C84" i="45"/>
  <c r="D84" i="45" s="1"/>
  <c r="E42" i="45"/>
  <c r="H42" i="45" s="1"/>
  <c r="E34" i="45"/>
  <c r="H34" i="45" s="1"/>
  <c r="E32" i="45"/>
  <c r="H32" i="45" s="1"/>
  <c r="E56" i="45"/>
  <c r="E41" i="45"/>
  <c r="H41" i="45" s="1"/>
  <c r="D58" i="46"/>
  <c r="C4" i="46"/>
  <c r="C7" i="46" s="1"/>
  <c r="E28" i="45" s="1"/>
  <c r="E37" i="45"/>
  <c r="H37" i="45" s="1"/>
  <c r="C94" i="45"/>
  <c r="D94" i="45" s="1"/>
  <c r="D83" i="45"/>
  <c r="V19" i="45"/>
  <c r="W15" i="45"/>
  <c r="W16" i="45"/>
  <c r="S19" i="45"/>
  <c r="T19" i="45"/>
  <c r="W14" i="45"/>
  <c r="W17" i="45"/>
  <c r="R19" i="45"/>
  <c r="W13" i="45"/>
  <c r="U19" i="45"/>
  <c r="Q19" i="45"/>
  <c r="P19" i="45"/>
  <c r="D91" i="45" l="1"/>
  <c r="B158" i="45" s="1"/>
  <c r="C91" i="45"/>
  <c r="B164" i="45"/>
  <c r="C511" i="47"/>
  <c r="D511" i="47" s="1"/>
  <c r="E33" i="48"/>
  <c r="E158" i="48"/>
  <c r="C126" i="45"/>
  <c r="D126" i="45" s="1"/>
  <c r="D499" i="47"/>
  <c r="I499" i="47" s="1"/>
  <c r="E156" i="48"/>
  <c r="D497" i="47"/>
  <c r="J66" i="45"/>
  <c r="C124" i="45"/>
  <c r="D124" i="45" s="1"/>
  <c r="J65" i="45"/>
  <c r="J67" i="45"/>
  <c r="E153" i="48"/>
  <c r="J63" i="45"/>
  <c r="E494" i="47" s="1" a="1"/>
  <c r="E494" i="47" s="1"/>
  <c r="F494" i="47" s="1"/>
  <c r="H494" i="47" s="1"/>
  <c r="D494" i="47"/>
  <c r="C121" i="45"/>
  <c r="D121" i="45" s="1"/>
  <c r="D488" i="47"/>
  <c r="J57" i="45"/>
  <c r="E488" i="47" s="1" a="1"/>
  <c r="E488" i="47" s="1"/>
  <c r="F488" i="47" s="1"/>
  <c r="H488" i="47" s="1"/>
  <c r="E147" i="48"/>
  <c r="C115" i="45"/>
  <c r="D115" i="45" s="1"/>
  <c r="E151" i="48"/>
  <c r="D492" i="47"/>
  <c r="J61" i="45"/>
  <c r="E492" i="47" s="1" a="1"/>
  <c r="E492" i="47" s="1"/>
  <c r="F492" i="47" s="1"/>
  <c r="H492" i="47" s="1"/>
  <c r="C119" i="45"/>
  <c r="D119" i="45" s="1"/>
  <c r="E487" i="47" a="1"/>
  <c r="E487" i="47" s="1"/>
  <c r="F487" i="47" s="1"/>
  <c r="H487" i="47" s="1"/>
  <c r="E146" i="48"/>
  <c r="D487" i="47"/>
  <c r="C114" i="45"/>
  <c r="D114" i="45" s="1"/>
  <c r="E141" i="48"/>
  <c r="D482" i="47"/>
  <c r="J55" i="45"/>
  <c r="E482" i="47" s="1" a="1"/>
  <c r="E482" i="47" s="1"/>
  <c r="F482" i="47" s="1"/>
  <c r="H482" i="47" s="1"/>
  <c r="C109" i="45"/>
  <c r="D109" i="45" s="1"/>
  <c r="D491" i="47"/>
  <c r="E150" i="48"/>
  <c r="J60" i="45"/>
  <c r="E491" i="47" s="1" a="1"/>
  <c r="E491" i="47" s="1"/>
  <c r="F491" i="47" s="1"/>
  <c r="H491" i="47" s="1"/>
  <c r="C118" i="45"/>
  <c r="D118" i="45" s="1"/>
  <c r="D254" i="47"/>
  <c r="C266" i="47"/>
  <c r="D266" i="47" s="1"/>
  <c r="E500" i="47" a="1"/>
  <c r="E500" i="47" s="1"/>
  <c r="F500" i="47" s="1"/>
  <c r="H500" i="47" s="1"/>
  <c r="C127" i="45"/>
  <c r="D127" i="45" s="1"/>
  <c r="E159" i="48"/>
  <c r="D500" i="47"/>
  <c r="I500" i="47" s="1"/>
  <c r="M8" i="48"/>
  <c r="N8" i="48" s="1"/>
  <c r="O8" i="48" s="1"/>
  <c r="P8" i="48" s="1"/>
  <c r="Q8" i="48" s="1"/>
  <c r="E131" i="48"/>
  <c r="G8" i="48"/>
  <c r="H8" i="48" s="1"/>
  <c r="I8" i="48" s="1"/>
  <c r="J8" i="48" s="1"/>
  <c r="K8" i="48" s="1"/>
  <c r="E18" i="48"/>
  <c r="G18" i="48" s="1"/>
  <c r="C125" i="45"/>
  <c r="D125" i="45" s="1"/>
  <c r="D498" i="47"/>
  <c r="I498" i="47" s="1"/>
  <c r="E157" i="48"/>
  <c r="E154" i="48"/>
  <c r="E495" i="47" a="1"/>
  <c r="E495" i="47" s="1"/>
  <c r="F495" i="47" s="1"/>
  <c r="H495" i="47" s="1"/>
  <c r="D495" i="47"/>
  <c r="C122" i="45"/>
  <c r="D122" i="45" s="1"/>
  <c r="J59" i="45"/>
  <c r="E490" i="47" s="1" a="1"/>
  <c r="E490" i="47" s="1"/>
  <c r="F490" i="47" s="1"/>
  <c r="H490" i="47" s="1"/>
  <c r="E149" i="48"/>
  <c r="C117" i="45"/>
  <c r="D117" i="45" s="1"/>
  <c r="D490" i="47"/>
  <c r="J64" i="45"/>
  <c r="E496" i="47" s="1" a="1"/>
  <c r="E496" i="47" s="1"/>
  <c r="F496" i="47" s="1"/>
  <c r="H496" i="47" s="1"/>
  <c r="D496" i="47"/>
  <c r="E155" i="48"/>
  <c r="C123" i="45"/>
  <c r="D123" i="45" s="1"/>
  <c r="J58" i="45"/>
  <c r="E489" i="47" s="1" a="1"/>
  <c r="E489" i="47" s="1"/>
  <c r="F489" i="47" s="1"/>
  <c r="H489" i="47" s="1"/>
  <c r="D489" i="47"/>
  <c r="E148" i="48"/>
  <c r="C116" i="45"/>
  <c r="D116" i="45" s="1"/>
  <c r="C31" i="42"/>
  <c r="B544" i="47" s="1"/>
  <c r="E485" i="47" a="1"/>
  <c r="E485" i="47" s="1"/>
  <c r="F485" i="47" s="1"/>
  <c r="H485" i="47" s="1"/>
  <c r="E144" i="48"/>
  <c r="D485" i="47"/>
  <c r="C112" i="45"/>
  <c r="D112" i="45" s="1"/>
  <c r="D348" i="47"/>
  <c r="G44" i="41"/>
  <c r="E152" i="48"/>
  <c r="D493" i="47"/>
  <c r="J62" i="45"/>
  <c r="E493" i="47" s="1" a="1"/>
  <c r="E493" i="47" s="1"/>
  <c r="F493" i="47" s="1"/>
  <c r="H493" i="47" s="1"/>
  <c r="C120" i="45"/>
  <c r="D120" i="45" s="1"/>
  <c r="H56" i="45"/>
  <c r="H54" i="45"/>
  <c r="B57" i="46"/>
  <c r="E28" i="48" l="1"/>
  <c r="E41" i="48" s="1"/>
  <c r="D569" i="47"/>
  <c r="B551" i="47"/>
  <c r="D577" i="47" s="1"/>
  <c r="L624" i="47"/>
  <c r="I496" i="47"/>
  <c r="L623" i="47"/>
  <c r="I495" i="47"/>
  <c r="E319" i="47"/>
  <c r="E318" i="47"/>
  <c r="E316" i="47"/>
  <c r="E317" i="47"/>
  <c r="G314" i="47"/>
  <c r="E315" i="47"/>
  <c r="I490" i="47"/>
  <c r="L618" i="47"/>
  <c r="I33" i="48"/>
  <c r="I45" i="48" s="1"/>
  <c r="H33" i="48"/>
  <c r="H45" i="48" s="1"/>
  <c r="J33" i="48"/>
  <c r="J45" i="48" s="1"/>
  <c r="E45" i="48"/>
  <c r="K33" i="48"/>
  <c r="K45" i="48" s="1"/>
  <c r="G33" i="48"/>
  <c r="G45" i="48" s="1"/>
  <c r="H18" i="48"/>
  <c r="G17" i="48"/>
  <c r="G37" i="41"/>
  <c r="E327" i="47"/>
  <c r="E323" i="47"/>
  <c r="D268" i="47"/>
  <c r="E325" i="47"/>
  <c r="E324" i="47"/>
  <c r="E326" i="47"/>
  <c r="L610" i="47"/>
  <c r="I482" i="47"/>
  <c r="L622" i="47"/>
  <c r="I494" i="47"/>
  <c r="L621" i="47"/>
  <c r="I493" i="47"/>
  <c r="I492" i="47"/>
  <c r="L620" i="47"/>
  <c r="L615" i="47"/>
  <c r="I487" i="47"/>
  <c r="C349" i="47"/>
  <c r="I489" i="47"/>
  <c r="L617" i="47"/>
  <c r="L619" i="47"/>
  <c r="I491" i="47"/>
  <c r="I485" i="47"/>
  <c r="L613" i="47"/>
  <c r="L616" i="47"/>
  <c r="I488" i="47"/>
  <c r="N528" i="47"/>
  <c r="I497" i="47"/>
  <c r="L626" i="47"/>
  <c r="L627" i="47"/>
  <c r="L628" i="47"/>
  <c r="L625" i="47"/>
  <c r="I28" i="48"/>
  <c r="I41" i="48" s="1"/>
  <c r="J28" i="48"/>
  <c r="P28" i="48" s="1"/>
  <c r="P41" i="48" s="1"/>
  <c r="K28" i="48"/>
  <c r="Q28" i="48" s="1"/>
  <c r="Q41" i="48" s="1"/>
  <c r="G28" i="48"/>
  <c r="M28" i="48" s="1"/>
  <c r="M41" i="48" s="1"/>
  <c r="C93" i="45"/>
  <c r="D93" i="45" s="1"/>
  <c r="D101" i="45" s="1"/>
  <c r="E13" i="48"/>
  <c r="C401" i="47"/>
  <c r="D401" i="47" s="1"/>
  <c r="D57" i="46"/>
  <c r="C57" i="46"/>
  <c r="E15" i="48"/>
  <c r="C10" i="46"/>
  <c r="C9" i="46"/>
  <c r="C8" i="46"/>
  <c r="H28" i="48" l="1"/>
  <c r="N28" i="48" s="1"/>
  <c r="N41" i="48" s="1"/>
  <c r="F327" i="47"/>
  <c r="H327" i="47" s="1"/>
  <c r="F326" i="47"/>
  <c r="H326" i="47" s="1"/>
  <c r="I577" i="47"/>
  <c r="M609" i="47"/>
  <c r="J54" i="42" s="1"/>
  <c r="M613" i="47"/>
  <c r="S613" i="47" s="1" a="1"/>
  <c r="S613" i="47" s="1"/>
  <c r="K144" i="48" s="1"/>
  <c r="M144" i="48" s="1"/>
  <c r="I569" i="47"/>
  <c r="O528" i="47"/>
  <c r="D601" i="47" s="1"/>
  <c r="P526" i="47"/>
  <c r="P528" i="47" s="1"/>
  <c r="H17" i="48"/>
  <c r="I18" i="48"/>
  <c r="E335" i="47"/>
  <c r="F323" i="47"/>
  <c r="H323" i="47" s="1"/>
  <c r="D323" i="47"/>
  <c r="I323" i="47" s="1"/>
  <c r="F316" i="47"/>
  <c r="D316" i="47"/>
  <c r="P622" i="47" a="1"/>
  <c r="P622" i="47" s="1"/>
  <c r="H153" i="48" s="1"/>
  <c r="O622" i="47" a="1"/>
  <c r="O622" i="47" s="1"/>
  <c r="G153" i="48" s="1"/>
  <c r="Q622" i="47" a="1"/>
  <c r="Q622" i="47" s="1"/>
  <c r="I153" i="48" s="1"/>
  <c r="R622" i="47" a="1"/>
  <c r="R622" i="47" s="1"/>
  <c r="J153" i="48" s="1"/>
  <c r="S622" i="47" a="1"/>
  <c r="S622" i="47" s="1"/>
  <c r="K153" i="48" s="1"/>
  <c r="M153" i="48" s="1"/>
  <c r="D318" i="47"/>
  <c r="F318" i="47"/>
  <c r="H318" i="47" s="1"/>
  <c r="P619" i="47" a="1"/>
  <c r="P619" i="47" s="1"/>
  <c r="H150" i="48" s="1"/>
  <c r="Q619" i="47" a="1"/>
  <c r="Q619" i="47" s="1"/>
  <c r="I150" i="48" s="1"/>
  <c r="R619" i="47" a="1"/>
  <c r="R619" i="47" s="1"/>
  <c r="J150" i="48" s="1"/>
  <c r="S619" i="47" a="1"/>
  <c r="S619" i="47" s="1"/>
  <c r="K150" i="48" s="1"/>
  <c r="M150" i="48" s="1"/>
  <c r="O619" i="47" a="1"/>
  <c r="O619" i="47" s="1"/>
  <c r="G150" i="48" s="1"/>
  <c r="R618" i="47" a="1"/>
  <c r="R618" i="47" s="1"/>
  <c r="J149" i="48" s="1"/>
  <c r="S618" i="47" a="1"/>
  <c r="S618" i="47" s="1"/>
  <c r="K149" i="48" s="1"/>
  <c r="M149" i="48" s="1"/>
  <c r="P618" i="47" a="1"/>
  <c r="P618" i="47" s="1"/>
  <c r="H149" i="48" s="1"/>
  <c r="O618" i="47" a="1"/>
  <c r="O618" i="47" s="1"/>
  <c r="G149" i="48" s="1"/>
  <c r="Q618" i="47" a="1"/>
  <c r="Q618" i="47" s="1"/>
  <c r="I149" i="48" s="1"/>
  <c r="R620" i="47" a="1"/>
  <c r="R620" i="47" s="1"/>
  <c r="J151" i="48" s="1"/>
  <c r="Q620" i="47" a="1"/>
  <c r="Q620" i="47" s="1"/>
  <c r="I151" i="48" s="1"/>
  <c r="P620" i="47" a="1"/>
  <c r="P620" i="47" s="1"/>
  <c r="H151" i="48" s="1"/>
  <c r="S620" i="47" a="1"/>
  <c r="S620" i="47" s="1"/>
  <c r="K151" i="48" s="1"/>
  <c r="M151" i="48" s="1"/>
  <c r="O620" i="47" a="1"/>
  <c r="O620" i="47" s="1"/>
  <c r="G151" i="48" s="1"/>
  <c r="Q623" i="47" a="1"/>
  <c r="Q623" i="47" s="1"/>
  <c r="I154" i="48" s="1"/>
  <c r="R623" i="47" a="1"/>
  <c r="R623" i="47" s="1"/>
  <c r="J154" i="48" s="1"/>
  <c r="P623" i="47" a="1"/>
  <c r="P623" i="47" s="1"/>
  <c r="H154" i="48" s="1"/>
  <c r="S623" i="47" a="1"/>
  <c r="S623" i="47" s="1"/>
  <c r="K154" i="48" s="1"/>
  <c r="M154" i="48" s="1"/>
  <c r="O623" i="47" a="1"/>
  <c r="O623" i="47" s="1"/>
  <c r="G154" i="48" s="1"/>
  <c r="E336" i="47"/>
  <c r="D324" i="47"/>
  <c r="I324" i="47" s="1"/>
  <c r="F324" i="47"/>
  <c r="H324" i="47" s="1"/>
  <c r="D315" i="47"/>
  <c r="F315" i="47"/>
  <c r="S621" i="47" a="1"/>
  <c r="S621" i="47" s="1"/>
  <c r="K152" i="48" s="1"/>
  <c r="M152" i="48" s="1"/>
  <c r="O621" i="47" a="1"/>
  <c r="O621" i="47" s="1"/>
  <c r="G152" i="48" s="1"/>
  <c r="R621" i="47" a="1"/>
  <c r="R621" i="47" s="1"/>
  <c r="J152" i="48" s="1"/>
  <c r="Q621" i="47" a="1"/>
  <c r="Q621" i="47" s="1"/>
  <c r="I152" i="48" s="1"/>
  <c r="P621" i="47" a="1"/>
  <c r="P621" i="47" s="1"/>
  <c r="H152" i="48" s="1"/>
  <c r="F317" i="47"/>
  <c r="D317" i="47"/>
  <c r="E337" i="47"/>
  <c r="G594" i="47" s="1"/>
  <c r="G74" i="41" s="1"/>
  <c r="D349" i="47"/>
  <c r="E349" i="47" s="1"/>
  <c r="C350" i="47" s="1"/>
  <c r="G45" i="41"/>
  <c r="D319" i="47"/>
  <c r="I319" i="47" s="1"/>
  <c r="F319" i="47"/>
  <c r="H319" i="47" s="1"/>
  <c r="R615" i="47" a="1"/>
  <c r="R615" i="47" s="1"/>
  <c r="J146" i="48" s="1"/>
  <c r="S615" i="47" a="1"/>
  <c r="S615" i="47" s="1"/>
  <c r="K146" i="48" s="1"/>
  <c r="M146" i="48" s="1"/>
  <c r="Q615" i="47" a="1"/>
  <c r="Q615" i="47" s="1"/>
  <c r="I146" i="48" s="1"/>
  <c r="O615" i="47" a="1"/>
  <c r="O615" i="47" s="1"/>
  <c r="G146" i="48" s="1"/>
  <c r="P615" i="47" a="1"/>
  <c r="P615" i="47" s="1"/>
  <c r="H146" i="48" s="1"/>
  <c r="S617" i="47" a="1"/>
  <c r="S617" i="47" s="1"/>
  <c r="K148" i="48" s="1"/>
  <c r="M148" i="48" s="1"/>
  <c r="Q617" i="47" a="1"/>
  <c r="Q617" i="47" s="1"/>
  <c r="I148" i="48" s="1"/>
  <c r="R617" i="47" a="1"/>
  <c r="R617" i="47" s="1"/>
  <c r="J148" i="48" s="1"/>
  <c r="P617" i="47" a="1"/>
  <c r="P617" i="47" s="1"/>
  <c r="H148" i="48" s="1"/>
  <c r="O617" i="47" a="1"/>
  <c r="O617" i="47" s="1"/>
  <c r="G148" i="48" s="1"/>
  <c r="F325" i="47"/>
  <c r="H325" i="47" s="1"/>
  <c r="D325" i="47"/>
  <c r="G338" i="47"/>
  <c r="G340" i="47" s="1"/>
  <c r="H314" i="47"/>
  <c r="M314" i="47" s="1"/>
  <c r="S624" i="47" a="1"/>
  <c r="S624" i="47" s="1"/>
  <c r="K155" i="48" s="1"/>
  <c r="M155" i="48" s="1"/>
  <c r="Q624" i="47" a="1"/>
  <c r="Q624" i="47" s="1"/>
  <c r="I155" i="48" s="1"/>
  <c r="O624" i="47" a="1"/>
  <c r="O624" i="47" s="1"/>
  <c r="G155" i="48" s="1"/>
  <c r="P624" i="47" a="1"/>
  <c r="P624" i="47" s="1"/>
  <c r="H155" i="48" s="1"/>
  <c r="R624" i="47" a="1"/>
  <c r="R624" i="47" s="1"/>
  <c r="J155" i="48" s="1"/>
  <c r="E31" i="45"/>
  <c r="H31" i="45" s="1"/>
  <c r="E30" i="45"/>
  <c r="E33" i="45"/>
  <c r="H33" i="45" s="1"/>
  <c r="J41" i="48"/>
  <c r="O28" i="48"/>
  <c r="O41" i="48" s="1"/>
  <c r="H41" i="48"/>
  <c r="G41" i="48"/>
  <c r="K41" i="48"/>
  <c r="C107" i="47"/>
  <c r="J31" i="40" s="1"/>
  <c r="C20" i="47"/>
  <c r="D20" i="47" s="1"/>
  <c r="C62" i="47" s="1"/>
  <c r="H28" i="45"/>
  <c r="E16" i="48"/>
  <c r="D25" i="50"/>
  <c r="E19" i="48"/>
  <c r="E14" i="48"/>
  <c r="C25" i="50"/>
  <c r="E157" i="45"/>
  <c r="E27" i="48"/>
  <c r="D157" i="45"/>
  <c r="D102" i="45"/>
  <c r="O613" i="47" l="1" a="1"/>
  <c r="O613" i="47" s="1"/>
  <c r="G144" i="48" s="1"/>
  <c r="P613" i="47" a="1"/>
  <c r="P613" i="47" s="1"/>
  <c r="H144" i="48" s="1"/>
  <c r="R613" i="47" a="1"/>
  <c r="R613" i="47" s="1"/>
  <c r="J144" i="48" s="1"/>
  <c r="Q613" i="47" a="1"/>
  <c r="Q613" i="47" s="1"/>
  <c r="I144" i="48" s="1"/>
  <c r="E48" i="45"/>
  <c r="E338" i="47"/>
  <c r="E340" i="47" s="1"/>
  <c r="I316" i="47"/>
  <c r="I336" i="47" s="1"/>
  <c r="D336" i="47"/>
  <c r="G610" i="47"/>
  <c r="I315" i="47"/>
  <c r="D335" i="47"/>
  <c r="G609" i="47"/>
  <c r="H316" i="47"/>
  <c r="H336" i="47" s="1"/>
  <c r="F336" i="47"/>
  <c r="G46" i="41"/>
  <c r="D350" i="47"/>
  <c r="G611" i="47"/>
  <c r="K74" i="41" s="1"/>
  <c r="I325" i="47"/>
  <c r="H317" i="47"/>
  <c r="H337" i="47" s="1"/>
  <c r="F337" i="47"/>
  <c r="F594" i="47"/>
  <c r="F74" i="41" s="1"/>
  <c r="I317" i="47"/>
  <c r="D337" i="47"/>
  <c r="H315" i="47"/>
  <c r="H335" i="47" s="1"/>
  <c r="F335" i="47"/>
  <c r="G628" i="47"/>
  <c r="G625" i="47"/>
  <c r="G626" i="47"/>
  <c r="G627" i="47"/>
  <c r="I318" i="47"/>
  <c r="J18" i="48"/>
  <c r="I17" i="48"/>
  <c r="D55" i="42"/>
  <c r="E55" i="42" s="1"/>
  <c r="J112" i="48"/>
  <c r="P33" i="48" s="1"/>
  <c r="P45" i="48" s="1"/>
  <c r="K112" i="48"/>
  <c r="Q33" i="48" s="1"/>
  <c r="Q45" i="48" s="1"/>
  <c r="G112" i="48"/>
  <c r="M33" i="48" s="1"/>
  <c r="M45" i="48" s="1"/>
  <c r="I112" i="48"/>
  <c r="O33" i="48" s="1"/>
  <c r="O45" i="48" s="1"/>
  <c r="H112" i="48"/>
  <c r="N33" i="48" s="1"/>
  <c r="N45" i="48" s="1"/>
  <c r="E486" i="47" a="1"/>
  <c r="E486" i="47" s="1"/>
  <c r="F486" i="47" s="1"/>
  <c r="H486" i="47" s="1"/>
  <c r="E145" i="48"/>
  <c r="C113" i="45"/>
  <c r="D113" i="45" s="1"/>
  <c r="D486" i="47"/>
  <c r="I486" i="47" s="1"/>
  <c r="C32" i="42"/>
  <c r="B545" i="47" s="1"/>
  <c r="C111" i="45"/>
  <c r="D111" i="45" s="1"/>
  <c r="E143" i="48"/>
  <c r="E484" i="47" a="1"/>
  <c r="E484" i="47" s="1"/>
  <c r="F484" i="47" s="1"/>
  <c r="H484" i="47" s="1"/>
  <c r="D484" i="47"/>
  <c r="L612" i="47" s="1"/>
  <c r="H30" i="45"/>
  <c r="H48" i="45" s="1"/>
  <c r="D107" i="47"/>
  <c r="B149" i="47" s="1"/>
  <c r="J24" i="40"/>
  <c r="E78" i="48"/>
  <c r="D26" i="50"/>
  <c r="G16" i="48"/>
  <c r="E29" i="48"/>
  <c r="E40" i="48"/>
  <c r="E140" i="48"/>
  <c r="C108" i="45"/>
  <c r="D108" i="45" s="1"/>
  <c r="D481" i="47"/>
  <c r="J54" i="45"/>
  <c r="G14" i="48"/>
  <c r="C26" i="50"/>
  <c r="C66" i="47"/>
  <c r="C67" i="47"/>
  <c r="C71" i="47"/>
  <c r="D62" i="47"/>
  <c r="E62" i="47" s="1"/>
  <c r="C69" i="47"/>
  <c r="C70" i="47"/>
  <c r="E20" i="48"/>
  <c r="F19" i="48"/>
  <c r="L19" i="48"/>
  <c r="B552" i="47" l="1"/>
  <c r="D579" i="47" s="1"/>
  <c r="D570" i="47"/>
  <c r="I484" i="47"/>
  <c r="E499" i="47" a="1"/>
  <c r="E499" i="47" s="1"/>
  <c r="F499" i="47" s="1"/>
  <c r="H499" i="47" s="1"/>
  <c r="E498" i="47" a="1"/>
  <c r="E498" i="47" s="1"/>
  <c r="F498" i="47" s="1"/>
  <c r="H498" i="47" s="1"/>
  <c r="F338" i="47"/>
  <c r="F340" i="47" s="1"/>
  <c r="H338" i="47"/>
  <c r="H340" i="47" s="1"/>
  <c r="C594" i="47" s="1"/>
  <c r="K84" i="48" s="1"/>
  <c r="I337" i="47"/>
  <c r="Q627" i="47" a="1"/>
  <c r="Q627" i="47" s="1"/>
  <c r="I158" i="48" s="1"/>
  <c r="O627" i="47" a="1"/>
  <c r="O627" i="47" s="1"/>
  <c r="G158" i="48" s="1"/>
  <c r="R627" i="47" a="1"/>
  <c r="R627" i="47" s="1"/>
  <c r="J158" i="48" s="1"/>
  <c r="P627" i="47" a="1"/>
  <c r="P627" i="47" s="1"/>
  <c r="H158" i="48" s="1"/>
  <c r="S627" i="47" a="1"/>
  <c r="S627" i="47" s="1"/>
  <c r="K158" i="48" s="1"/>
  <c r="M158" i="48" s="1"/>
  <c r="S625" i="47" a="1"/>
  <c r="S625" i="47" s="1"/>
  <c r="K156" i="48" s="1"/>
  <c r="M156" i="48" s="1"/>
  <c r="P625" i="47" a="1"/>
  <c r="P625" i="47" s="1"/>
  <c r="H156" i="48" s="1"/>
  <c r="Q625" i="47" a="1"/>
  <c r="Q625" i="47" s="1"/>
  <c r="I156" i="48" s="1"/>
  <c r="R625" i="47" a="1"/>
  <c r="R625" i="47" s="1"/>
  <c r="J156" i="48" s="1"/>
  <c r="O625" i="47" a="1"/>
  <c r="O625" i="47" s="1"/>
  <c r="G156" i="48" s="1"/>
  <c r="H594" i="47"/>
  <c r="H74" i="41" s="1"/>
  <c r="I74" i="41" s="1"/>
  <c r="S626" i="47" a="1"/>
  <c r="S626" i="47" s="1"/>
  <c r="K157" i="48" s="1"/>
  <c r="M157" i="48" s="1"/>
  <c r="Q626" i="47" a="1"/>
  <c r="Q626" i="47" s="1"/>
  <c r="I157" i="48" s="1"/>
  <c r="O626" i="47" a="1"/>
  <c r="O626" i="47" s="1"/>
  <c r="G157" i="48" s="1"/>
  <c r="R626" i="47" a="1"/>
  <c r="R626" i="47" s="1"/>
  <c r="J157" i="48" s="1"/>
  <c r="P626" i="47" a="1"/>
  <c r="P626" i="47" s="1"/>
  <c r="H157" i="48" s="1"/>
  <c r="P628" i="47" a="1"/>
  <c r="P628" i="47" s="1"/>
  <c r="H159" i="48" s="1"/>
  <c r="R628" i="47" a="1"/>
  <c r="R628" i="47" s="1"/>
  <c r="J159" i="48" s="1"/>
  <c r="O628" i="47" a="1"/>
  <c r="O628" i="47" s="1"/>
  <c r="G159" i="48" s="1"/>
  <c r="S628" i="47" a="1"/>
  <c r="S628" i="47" s="1"/>
  <c r="K159" i="48" s="1"/>
  <c r="M159" i="48" s="1"/>
  <c r="Q628" i="47" a="1"/>
  <c r="Q628" i="47" s="1"/>
  <c r="I159" i="48" s="1"/>
  <c r="I335" i="47"/>
  <c r="S610" i="47" a="1"/>
  <c r="S610" i="47" s="1"/>
  <c r="K141" i="48" s="1"/>
  <c r="M141" i="48" s="1"/>
  <c r="R610" i="47" a="1"/>
  <c r="R610" i="47" s="1"/>
  <c r="J141" i="48" s="1"/>
  <c r="P610" i="47" a="1"/>
  <c r="P610" i="47" s="1"/>
  <c r="H141" i="48" s="1"/>
  <c r="O610" i="47" a="1"/>
  <c r="O610" i="47" s="1"/>
  <c r="G141" i="48" s="1"/>
  <c r="Q610" i="47" a="1"/>
  <c r="Q610" i="47" s="1"/>
  <c r="I141" i="48" s="1"/>
  <c r="L614" i="47"/>
  <c r="K18" i="48"/>
  <c r="K17" i="48" s="1"/>
  <c r="J17" i="48"/>
  <c r="C368" i="47"/>
  <c r="C367" i="47"/>
  <c r="C369" i="47"/>
  <c r="D338" i="47"/>
  <c r="D340" i="47" s="1"/>
  <c r="J74" i="41"/>
  <c r="G633" i="47"/>
  <c r="L74" i="41" s="1"/>
  <c r="G629" i="47"/>
  <c r="E578" i="47" a="1"/>
  <c r="E578" i="47" s="1"/>
  <c r="E243" i="47" a="1"/>
  <c r="E243" i="47" s="1"/>
  <c r="E572" i="47" a="1"/>
  <c r="E572" i="47" s="1"/>
  <c r="E237" i="47" a="1"/>
  <c r="E237" i="47" s="1"/>
  <c r="C110" i="45"/>
  <c r="D110" i="45" s="1"/>
  <c r="C128" i="45" s="1"/>
  <c r="D128" i="45" s="1"/>
  <c r="E142" i="48"/>
  <c r="E160" i="48" s="1"/>
  <c r="J56" i="45"/>
  <c r="E87" i="47" s="1" a="1"/>
  <c r="E87" i="47" s="1"/>
  <c r="D483" i="47"/>
  <c r="D503" i="47" s="1"/>
  <c r="B147" i="47"/>
  <c r="E156" i="47" s="1"/>
  <c r="E574" i="47" a="1"/>
  <c r="E574" i="47" s="1"/>
  <c r="E240" i="47" a="1"/>
  <c r="E240" i="47" s="1"/>
  <c r="E241" i="47" a="1"/>
  <c r="E241" i="47" s="1"/>
  <c r="E575" i="47" a="1"/>
  <c r="E575" i="47" s="1"/>
  <c r="F397" i="47" a="1"/>
  <c r="F397" i="47" s="1"/>
  <c r="E421" i="47" s="1"/>
  <c r="J421" i="47" s="1"/>
  <c r="E497" i="47" a="1"/>
  <c r="E497" i="47" s="1"/>
  <c r="F497" i="47" s="1"/>
  <c r="H497" i="47" s="1"/>
  <c r="F395" i="47" a="1"/>
  <c r="F395" i="47" s="1"/>
  <c r="E419" i="47" s="1"/>
  <c r="J419" i="47" s="1"/>
  <c r="E481" i="47" a="1"/>
  <c r="E481" i="47" s="1"/>
  <c r="D87" i="47"/>
  <c r="I481" i="47"/>
  <c r="L609" i="47"/>
  <c r="F29" i="48"/>
  <c r="L29" i="48"/>
  <c r="D31" i="50"/>
  <c r="E93" i="48"/>
  <c r="G78" i="48"/>
  <c r="G15" i="48"/>
  <c r="H16" i="48"/>
  <c r="C15" i="47"/>
  <c r="D15" i="47" s="1"/>
  <c r="G83" i="47" s="1"/>
  <c r="I83" i="47" s="1"/>
  <c r="F88" i="47"/>
  <c r="G88" i="47"/>
  <c r="C72" i="47"/>
  <c r="I38" i="47"/>
  <c r="I44" i="47"/>
  <c r="C74" i="47"/>
  <c r="J61" i="48"/>
  <c r="J59" i="48"/>
  <c r="J63" i="48"/>
  <c r="J56" i="48"/>
  <c r="J58" i="48"/>
  <c r="J55" i="48"/>
  <c r="J62" i="48"/>
  <c r="J57" i="48"/>
  <c r="J54" i="48"/>
  <c r="J64" i="48"/>
  <c r="J60" i="48"/>
  <c r="D86" i="47"/>
  <c r="E86" i="47" a="1"/>
  <c r="E86" i="47" s="1"/>
  <c r="G13" i="48"/>
  <c r="H14" i="48"/>
  <c r="F396" i="47" a="1"/>
  <c r="F396" i="47" s="1"/>
  <c r="E420" i="47" s="1"/>
  <c r="J420" i="47" s="1"/>
  <c r="F398" i="47" a="1"/>
  <c r="F398" i="47" s="1"/>
  <c r="E422" i="47" s="1"/>
  <c r="J422" i="47" s="1"/>
  <c r="E239" i="47" a="1"/>
  <c r="E239" i="47" s="1"/>
  <c r="E576" i="47" a="1"/>
  <c r="E576" i="47" s="1"/>
  <c r="J175" i="47"/>
  <c r="E577" i="47" a="1"/>
  <c r="E577" i="47" s="1"/>
  <c r="J180" i="47"/>
  <c r="J177" i="47"/>
  <c r="J176" i="47"/>
  <c r="F393" i="47" a="1"/>
  <c r="F393" i="47" s="1"/>
  <c r="E417" i="47" s="1"/>
  <c r="J417" i="47" s="1"/>
  <c r="E81" i="47" a="1"/>
  <c r="E81" i="47" s="1"/>
  <c r="G124" i="47"/>
  <c r="J124" i="47" s="1"/>
  <c r="E236" i="47" a="1"/>
  <c r="E236" i="47" s="1"/>
  <c r="G122" i="47"/>
  <c r="J122" i="47" s="1"/>
  <c r="E242" i="47" a="1"/>
  <c r="E242" i="47" s="1"/>
  <c r="J178" i="47"/>
  <c r="E571" i="47" a="1"/>
  <c r="E571" i="47" s="1"/>
  <c r="G125" i="47"/>
  <c r="J125" i="47" s="1"/>
  <c r="J179" i="47"/>
  <c r="G123" i="47"/>
  <c r="J123" i="47" s="1"/>
  <c r="E155" i="47"/>
  <c r="E149" i="47"/>
  <c r="E238" i="47" l="1" a="1"/>
  <c r="E238" i="47" s="1"/>
  <c r="F572" i="47"/>
  <c r="H572" i="47" s="1"/>
  <c r="F574" i="47"/>
  <c r="H574" i="47" s="1"/>
  <c r="F578" i="47"/>
  <c r="H578" i="47" s="1"/>
  <c r="F575" i="47"/>
  <c r="H575" i="47" s="1"/>
  <c r="F237" i="47"/>
  <c r="H237" i="47" s="1"/>
  <c r="F243" i="47"/>
  <c r="H243" i="47" s="1"/>
  <c r="F240" i="47"/>
  <c r="H240" i="47" s="1"/>
  <c r="F241" i="47"/>
  <c r="H241" i="47" s="1"/>
  <c r="D89" i="47"/>
  <c r="M611" i="47"/>
  <c r="K54" i="42" s="1"/>
  <c r="I579" i="47"/>
  <c r="M612" i="47"/>
  <c r="I570" i="47"/>
  <c r="D581" i="47"/>
  <c r="H84" i="48"/>
  <c r="C129" i="45"/>
  <c r="D129" i="45" s="1"/>
  <c r="G129" i="45" s="1"/>
  <c r="G84" i="48"/>
  <c r="C74" i="41"/>
  <c r="J84" i="48"/>
  <c r="I338" i="47"/>
  <c r="I340" i="47" s="1"/>
  <c r="I84" i="48"/>
  <c r="G634" i="47"/>
  <c r="M74" i="41" s="1"/>
  <c r="E378" i="47"/>
  <c r="D378" i="47"/>
  <c r="D379" i="47"/>
  <c r="E379" i="47"/>
  <c r="D376" i="47"/>
  <c r="E376" i="47"/>
  <c r="L611" i="47"/>
  <c r="K53" i="42" s="1"/>
  <c r="I483" i="47"/>
  <c r="I503" i="47" s="1"/>
  <c r="E483" i="47" a="1"/>
  <c r="E483" i="47" s="1"/>
  <c r="E503" i="47" s="1"/>
  <c r="F394" i="47" a="1"/>
  <c r="F394" i="47" s="1"/>
  <c r="E418" i="47" s="1"/>
  <c r="F596" i="47" s="1"/>
  <c r="F76" i="41" s="1"/>
  <c r="E579" i="47" a="1"/>
  <c r="E579" i="47" s="1"/>
  <c r="E244" i="47" a="1"/>
  <c r="E244" i="47" s="1"/>
  <c r="E82" i="47" a="1"/>
  <c r="E82" i="47" s="1"/>
  <c r="E573" i="47" a="1"/>
  <c r="E573" i="47" s="1"/>
  <c r="F419" i="47"/>
  <c r="H419" i="47" s="1"/>
  <c r="F421" i="47"/>
  <c r="E147" i="47"/>
  <c r="F147" i="47" s="1"/>
  <c r="G147" i="47" s="1"/>
  <c r="D156" i="47" s="1"/>
  <c r="I156" i="47" s="1"/>
  <c r="F149" i="47"/>
  <c r="G149" i="47" s="1"/>
  <c r="G150" i="47" s="1"/>
  <c r="J36" i="40" s="1"/>
  <c r="F599" i="47"/>
  <c r="F53" i="42" s="1"/>
  <c r="F481" i="47"/>
  <c r="H481" i="47" s="1"/>
  <c r="G81" i="47"/>
  <c r="I81" i="47" s="1"/>
  <c r="J53" i="42"/>
  <c r="J56" i="42" s="1"/>
  <c r="N179" i="47"/>
  <c r="E234" i="47" s="1"/>
  <c r="H26" i="41"/>
  <c r="F239" i="47"/>
  <c r="H239" i="47" s="1"/>
  <c r="I88" i="47"/>
  <c r="G93" i="47"/>
  <c r="F93" i="47"/>
  <c r="F96" i="47" s="1"/>
  <c r="F99" i="47" s="1"/>
  <c r="I590" i="47" s="1"/>
  <c r="E89" i="47"/>
  <c r="F576" i="47"/>
  <c r="H576" i="47" s="1"/>
  <c r="F417" i="47"/>
  <c r="D91" i="47"/>
  <c r="J86" i="47"/>
  <c r="F422" i="47"/>
  <c r="H422" i="47" s="1"/>
  <c r="G87" i="47"/>
  <c r="F242" i="47"/>
  <c r="H242" i="47" s="1"/>
  <c r="N180" i="47"/>
  <c r="E235" i="47" s="1"/>
  <c r="H27" i="41"/>
  <c r="I14" i="48"/>
  <c r="H13" i="48"/>
  <c r="F156" i="47"/>
  <c r="I16" i="48"/>
  <c r="H15" i="48"/>
  <c r="D92" i="47"/>
  <c r="D97" i="47" s="1"/>
  <c r="C611" i="47" s="1"/>
  <c r="J87" i="47"/>
  <c r="H25" i="41"/>
  <c r="N178" i="47"/>
  <c r="E233" i="47" s="1"/>
  <c r="N177" i="47"/>
  <c r="E232" i="47" s="1"/>
  <c r="H24" i="41"/>
  <c r="G19" i="48"/>
  <c r="G20" i="48" s="1"/>
  <c r="G27" i="48"/>
  <c r="F420" i="47"/>
  <c r="H420" i="47" s="1"/>
  <c r="F593" i="47"/>
  <c r="F73" i="41" s="1"/>
  <c r="F236" i="47"/>
  <c r="H236" i="47" s="1"/>
  <c r="G86" i="47"/>
  <c r="E91" i="47"/>
  <c r="F571" i="47"/>
  <c r="F600" i="47"/>
  <c r="F54" i="42" s="1"/>
  <c r="H23" i="41"/>
  <c r="N176" i="47"/>
  <c r="E231" i="47" s="1"/>
  <c r="E160" i="47"/>
  <c r="F155" i="47"/>
  <c r="F577" i="47"/>
  <c r="H577" i="47" s="1"/>
  <c r="N175" i="47"/>
  <c r="E230" i="47" s="1"/>
  <c r="H22" i="41"/>
  <c r="H78" i="48"/>
  <c r="I581" i="47" l="1"/>
  <c r="F579" i="47"/>
  <c r="H579" i="47" s="1"/>
  <c r="E423" i="47"/>
  <c r="J418" i="47"/>
  <c r="F379" i="47"/>
  <c r="H379" i="47" s="1"/>
  <c r="F244" i="47"/>
  <c r="H244" i="47" s="1"/>
  <c r="G82" i="47"/>
  <c r="I82" i="47" s="1"/>
  <c r="K56" i="42"/>
  <c r="M633" i="47"/>
  <c r="L54" i="42" s="1"/>
  <c r="M629" i="47"/>
  <c r="P612" i="47" a="1"/>
  <c r="P612" i="47" s="1"/>
  <c r="H143" i="48" s="1"/>
  <c r="Q612" i="47" a="1"/>
  <c r="Q612" i="47" s="1"/>
  <c r="I143" i="48" s="1"/>
  <c r="S612" i="47" a="1"/>
  <c r="S612" i="47" s="1"/>
  <c r="K143" i="48" s="1"/>
  <c r="M143" i="48" s="1"/>
  <c r="O612" i="47" a="1"/>
  <c r="O612" i="47" s="1"/>
  <c r="G143" i="48" s="1"/>
  <c r="R612" i="47" a="1"/>
  <c r="R612" i="47" s="1"/>
  <c r="J143" i="48" s="1"/>
  <c r="D130" i="45"/>
  <c r="E32" i="48" s="1"/>
  <c r="E34" i="48" s="1"/>
  <c r="D161" i="45"/>
  <c r="E161" i="45" s="1"/>
  <c r="L633" i="47"/>
  <c r="L53" i="42" s="1"/>
  <c r="H609" i="47"/>
  <c r="I376" i="47"/>
  <c r="D381" i="47"/>
  <c r="H614" i="47"/>
  <c r="I379" i="47"/>
  <c r="E381" i="47"/>
  <c r="F595" i="47"/>
  <c r="F75" i="41" s="1"/>
  <c r="F77" i="41" s="1"/>
  <c r="F376" i="47"/>
  <c r="I378" i="47"/>
  <c r="H611" i="47"/>
  <c r="K75" i="41" s="1"/>
  <c r="K77" i="41" s="1"/>
  <c r="L629" i="47"/>
  <c r="G595" i="47"/>
  <c r="G75" i="41" s="1"/>
  <c r="F378" i="47"/>
  <c r="H378" i="47" s="1"/>
  <c r="G593" i="47"/>
  <c r="G73" i="41" s="1"/>
  <c r="F238" i="47"/>
  <c r="H238" i="47" s="1"/>
  <c r="E581" i="47"/>
  <c r="G599" i="47"/>
  <c r="G53" i="42" s="1"/>
  <c r="F483" i="47"/>
  <c r="H483" i="47" s="1"/>
  <c r="H503" i="47" s="1"/>
  <c r="C599" i="47" s="1"/>
  <c r="G596" i="47"/>
  <c r="G76" i="41" s="1"/>
  <c r="F418" i="47"/>
  <c r="H418" i="47" s="1"/>
  <c r="E92" i="47"/>
  <c r="E97" i="47" s="1"/>
  <c r="G590" i="47" s="1"/>
  <c r="G43" i="40" s="1"/>
  <c r="G45" i="40" s="1"/>
  <c r="G600" i="47"/>
  <c r="G54" i="42" s="1"/>
  <c r="F573" i="47"/>
  <c r="H573" i="47" s="1"/>
  <c r="D155" i="47"/>
  <c r="D157" i="47" s="1"/>
  <c r="F56" i="42"/>
  <c r="I36" i="40"/>
  <c r="G89" i="47"/>
  <c r="E94" i="47"/>
  <c r="E96" i="47" s="1"/>
  <c r="I93" i="47"/>
  <c r="H155" i="47"/>
  <c r="F160" i="47"/>
  <c r="H571" i="47"/>
  <c r="H19" i="48"/>
  <c r="H20" i="48" s="1"/>
  <c r="H27" i="48"/>
  <c r="I87" i="47"/>
  <c r="H417" i="47"/>
  <c r="F230" i="47"/>
  <c r="F233" i="47"/>
  <c r="H233" i="47" s="1"/>
  <c r="J89" i="47"/>
  <c r="J94" i="47" s="1"/>
  <c r="D94" i="47"/>
  <c r="D96" i="47" s="1"/>
  <c r="E246" i="47"/>
  <c r="F231" i="47"/>
  <c r="H231" i="47" s="1"/>
  <c r="M605" i="47"/>
  <c r="H129" i="48" s="1"/>
  <c r="N17" i="48" s="1"/>
  <c r="N18" i="48" s="1"/>
  <c r="O605" i="47"/>
  <c r="J129" i="48" s="1"/>
  <c r="P17" i="48" s="1"/>
  <c r="P18" i="48" s="1"/>
  <c r="P605" i="47"/>
  <c r="K129" i="48" s="1"/>
  <c r="Q17" i="48" s="1"/>
  <c r="Q18" i="48" s="1"/>
  <c r="N605" i="47"/>
  <c r="I129" i="48" s="1"/>
  <c r="O17" i="48" s="1"/>
  <c r="O18" i="48" s="1"/>
  <c r="L605" i="47"/>
  <c r="G129" i="48" s="1"/>
  <c r="M17" i="48" s="1"/>
  <c r="M18" i="48" s="1"/>
  <c r="I78" i="48"/>
  <c r="G91" i="47"/>
  <c r="I86" i="47"/>
  <c r="J92" i="47"/>
  <c r="J97" i="47" s="1"/>
  <c r="J14" i="48"/>
  <c r="I13" i="48"/>
  <c r="J91" i="47"/>
  <c r="H156" i="47"/>
  <c r="K43" i="40"/>
  <c r="K45" i="40" s="1"/>
  <c r="F234" i="47"/>
  <c r="H234" i="47" s="1"/>
  <c r="I15" i="48"/>
  <c r="J16" i="48"/>
  <c r="G29" i="48"/>
  <c r="G40" i="48"/>
  <c r="F232" i="47"/>
  <c r="H232" i="47" s="1"/>
  <c r="F235" i="47"/>
  <c r="H235" i="47" s="1"/>
  <c r="G92" i="47" l="1"/>
  <c r="G97" i="47" s="1"/>
  <c r="L56" i="42"/>
  <c r="M634" i="47"/>
  <c r="M54" i="42" s="1"/>
  <c r="D162" i="45"/>
  <c r="E44" i="48"/>
  <c r="I59" i="48" s="1"/>
  <c r="D151" i="45"/>
  <c r="D153" i="45" s="1"/>
  <c r="E153" i="45" s="1"/>
  <c r="H599" i="47"/>
  <c r="H53" i="42" s="1"/>
  <c r="I53" i="42" s="1"/>
  <c r="R611" i="47" a="1"/>
  <c r="R611" i="47" s="1"/>
  <c r="J142" i="48" s="1"/>
  <c r="P611" i="47" a="1"/>
  <c r="P611" i="47" s="1"/>
  <c r="H142" i="48" s="1"/>
  <c r="S611" i="47" a="1"/>
  <c r="S611" i="47" s="1"/>
  <c r="K142" i="48" s="1"/>
  <c r="M142" i="48" s="1"/>
  <c r="L634" i="47"/>
  <c r="M53" i="42" s="1"/>
  <c r="Q611" i="47" a="1"/>
  <c r="Q611" i="47" s="1"/>
  <c r="I142" i="48" s="1"/>
  <c r="O611" i="47" a="1"/>
  <c r="O611" i="47" s="1"/>
  <c r="G142" i="48" s="1"/>
  <c r="I381" i="47"/>
  <c r="H600" i="47"/>
  <c r="H54" i="42" s="1"/>
  <c r="I54" i="42" s="1"/>
  <c r="F581" i="47"/>
  <c r="C600" i="47" s="1"/>
  <c r="K91" i="48" s="1"/>
  <c r="P614" i="47" a="1"/>
  <c r="P614" i="47" s="1"/>
  <c r="H145" i="48" s="1"/>
  <c r="R614" i="47" a="1"/>
  <c r="R614" i="47" s="1"/>
  <c r="J145" i="48" s="1"/>
  <c r="S614" i="47" a="1"/>
  <c r="S614" i="47" s="1"/>
  <c r="K145" i="48" s="1"/>
  <c r="M145" i="48" s="1"/>
  <c r="Q614" i="47" a="1"/>
  <c r="Q614" i="47" s="1"/>
  <c r="I145" i="48" s="1"/>
  <c r="O614" i="47" a="1"/>
  <c r="O614" i="47" s="1"/>
  <c r="G145" i="48" s="1"/>
  <c r="F381" i="47"/>
  <c r="C595" i="47" s="1"/>
  <c r="H376" i="47"/>
  <c r="H381" i="47" s="1"/>
  <c r="H595" i="47"/>
  <c r="H75" i="41" s="1"/>
  <c r="I75" i="41" s="1"/>
  <c r="H593" i="47"/>
  <c r="H73" i="41" s="1"/>
  <c r="I73" i="41" s="1"/>
  <c r="G56" i="42"/>
  <c r="H629" i="47"/>
  <c r="J75" i="41"/>
  <c r="J77" i="41" s="1"/>
  <c r="H633" i="47"/>
  <c r="L75" i="41" s="1"/>
  <c r="L77" i="41" s="1"/>
  <c r="H596" i="47"/>
  <c r="H76" i="41" s="1"/>
  <c r="I76" i="41" s="1"/>
  <c r="F503" i="47"/>
  <c r="F423" i="47"/>
  <c r="G77" i="41"/>
  <c r="E157" i="47"/>
  <c r="I155" i="47"/>
  <c r="I160" i="47" s="1"/>
  <c r="D160" i="47"/>
  <c r="D616" i="47" s="1"/>
  <c r="O616" i="47" s="1" a="1"/>
  <c r="O616" i="47" s="1"/>
  <c r="G147" i="48" s="1"/>
  <c r="C609" i="47"/>
  <c r="D99" i="47"/>
  <c r="J89" i="48"/>
  <c r="C53" i="42"/>
  <c r="K89" i="48"/>
  <c r="H89" i="48"/>
  <c r="G89" i="48"/>
  <c r="I89" i="48"/>
  <c r="H423" i="47"/>
  <c r="C596" i="47" s="1"/>
  <c r="H581" i="47"/>
  <c r="H29" i="48"/>
  <c r="H40" i="48"/>
  <c r="I91" i="47"/>
  <c r="L34" i="48"/>
  <c r="D32" i="50"/>
  <c r="F34" i="48"/>
  <c r="E36" i="48"/>
  <c r="I92" i="47"/>
  <c r="I97" i="47" s="1"/>
  <c r="H160" i="47"/>
  <c r="I89" i="47"/>
  <c r="G94" i="47"/>
  <c r="G96" i="47" s="1"/>
  <c r="G99" i="47" s="1"/>
  <c r="C590" i="47" s="1"/>
  <c r="J78" i="48"/>
  <c r="I157" i="47"/>
  <c r="D159" i="47"/>
  <c r="K14" i="48"/>
  <c r="K13" i="48" s="1"/>
  <c r="J13" i="48"/>
  <c r="E99" i="47"/>
  <c r="F590" i="47"/>
  <c r="J15" i="48"/>
  <c r="K16" i="48"/>
  <c r="K15" i="48" s="1"/>
  <c r="H230" i="47"/>
  <c r="F246" i="47"/>
  <c r="J96" i="47"/>
  <c r="J99" i="47" s="1"/>
  <c r="I19" i="48"/>
  <c r="I20" i="48" s="1"/>
  <c r="I27" i="48"/>
  <c r="J230" i="47" l="1"/>
  <c r="J235" i="47"/>
  <c r="L235" i="47" s="1"/>
  <c r="M235" i="47" s="1"/>
  <c r="J232" i="47"/>
  <c r="L232" i="47" s="1"/>
  <c r="M232" i="47" s="1"/>
  <c r="J231" i="47"/>
  <c r="L231" i="47" s="1"/>
  <c r="M231" i="47" s="1"/>
  <c r="J233" i="47"/>
  <c r="L233" i="47" s="1"/>
  <c r="M233" i="47" s="1"/>
  <c r="J234" i="47"/>
  <c r="L234" i="47" s="1"/>
  <c r="M234" i="47" s="1"/>
  <c r="E159" i="47"/>
  <c r="F591" i="47" s="1"/>
  <c r="F44" i="40" s="1"/>
  <c r="D163" i="45"/>
  <c r="L230" i="47"/>
  <c r="M230" i="47" s="1"/>
  <c r="M56" i="42"/>
  <c r="E162" i="45"/>
  <c r="I56" i="42"/>
  <c r="I64" i="48"/>
  <c r="E100" i="48"/>
  <c r="G100" i="48" s="1"/>
  <c r="G119" i="48" s="1"/>
  <c r="I60" i="48"/>
  <c r="I61" i="48"/>
  <c r="I56" i="48"/>
  <c r="I57" i="48"/>
  <c r="I55" i="48"/>
  <c r="I62" i="48"/>
  <c r="I54" i="48"/>
  <c r="I58" i="48"/>
  <c r="I63" i="48"/>
  <c r="I91" i="48"/>
  <c r="J91" i="48"/>
  <c r="G91" i="48"/>
  <c r="H91" i="48"/>
  <c r="H56" i="42"/>
  <c r="C54" i="42"/>
  <c r="C56" i="42" s="1"/>
  <c r="I77" i="41"/>
  <c r="H634" i="47"/>
  <c r="M75" i="41" s="1"/>
  <c r="M77" i="41" s="1"/>
  <c r="H77" i="41"/>
  <c r="G85" i="48"/>
  <c r="J85" i="48"/>
  <c r="C75" i="41"/>
  <c r="I85" i="48"/>
  <c r="H85" i="48"/>
  <c r="K85" i="48"/>
  <c r="F157" i="47"/>
  <c r="H157" i="47" s="1"/>
  <c r="L483" i="47"/>
  <c r="M483" i="47" s="1"/>
  <c r="L422" i="47"/>
  <c r="M422" i="47" s="1"/>
  <c r="L499" i="47"/>
  <c r="M499" i="47" s="1"/>
  <c r="L481" i="47"/>
  <c r="M481" i="47" s="1"/>
  <c r="L418" i="47"/>
  <c r="M418" i="47" s="1"/>
  <c r="L493" i="47"/>
  <c r="M493" i="47" s="1"/>
  <c r="L498" i="47"/>
  <c r="M498" i="47" s="1"/>
  <c r="L420" i="47"/>
  <c r="M420" i="47" s="1"/>
  <c r="L496" i="47"/>
  <c r="M496" i="47" s="1"/>
  <c r="L419" i="47"/>
  <c r="M419" i="47" s="1"/>
  <c r="L417" i="47"/>
  <c r="M417" i="47" s="1"/>
  <c r="L497" i="47"/>
  <c r="M497" i="47" s="1"/>
  <c r="L490" i="47"/>
  <c r="M490" i="47" s="1"/>
  <c r="L488" i="47"/>
  <c r="M488" i="47" s="1"/>
  <c r="L487" i="47"/>
  <c r="M487" i="47" s="1"/>
  <c r="L484" i="47"/>
  <c r="M484" i="47" s="1"/>
  <c r="L494" i="47"/>
  <c r="M494" i="47" s="1"/>
  <c r="L489" i="47"/>
  <c r="M489" i="47" s="1"/>
  <c r="L500" i="47"/>
  <c r="M500" i="47" s="1"/>
  <c r="L491" i="47"/>
  <c r="M491" i="47" s="1"/>
  <c r="L482" i="47"/>
  <c r="M482" i="47" s="1"/>
  <c r="L492" i="47"/>
  <c r="M492" i="47" s="1"/>
  <c r="L495" i="47"/>
  <c r="M495" i="47" s="1"/>
  <c r="L486" i="47"/>
  <c r="M486" i="47" s="1"/>
  <c r="L485" i="47"/>
  <c r="M485" i="47" s="1"/>
  <c r="Q616" i="47" a="1"/>
  <c r="Q616" i="47" s="1"/>
  <c r="I147" i="48" s="1"/>
  <c r="R616" i="47" a="1"/>
  <c r="R616" i="47" s="1"/>
  <c r="J147" i="48" s="1"/>
  <c r="S616" i="47" a="1"/>
  <c r="S616" i="47" s="1"/>
  <c r="K147" i="48" s="1"/>
  <c r="M147" i="48" s="1"/>
  <c r="P616" i="47" a="1"/>
  <c r="P616" i="47" s="1"/>
  <c r="H147" i="48" s="1"/>
  <c r="G80" i="48"/>
  <c r="J80" i="48"/>
  <c r="K80" i="48"/>
  <c r="H80" i="48"/>
  <c r="I80" i="48"/>
  <c r="C43" i="40"/>
  <c r="I40" i="48"/>
  <c r="I29" i="48"/>
  <c r="H590" i="47"/>
  <c r="F43" i="40"/>
  <c r="L36" i="48"/>
  <c r="D33" i="50"/>
  <c r="D34" i="50" s="1"/>
  <c r="F36" i="48"/>
  <c r="E37" i="48"/>
  <c r="C76" i="41"/>
  <c r="G86" i="48"/>
  <c r="K86" i="48"/>
  <c r="J86" i="48"/>
  <c r="H86" i="48"/>
  <c r="I86" i="48"/>
  <c r="D163" i="47"/>
  <c r="D609" i="47"/>
  <c r="S609" i="47" s="1" a="1"/>
  <c r="S609" i="47" s="1"/>
  <c r="I94" i="47"/>
  <c r="I96" i="47" s="1"/>
  <c r="I99" i="47" s="1"/>
  <c r="I159" i="47"/>
  <c r="I163" i="47" s="1"/>
  <c r="H246" i="47"/>
  <c r="C593" i="47" s="1"/>
  <c r="J19" i="48"/>
  <c r="J20" i="48" s="1"/>
  <c r="J27" i="48"/>
  <c r="K78" i="48"/>
  <c r="K19" i="48"/>
  <c r="K20" i="48" s="1"/>
  <c r="K27" i="48"/>
  <c r="J43" i="40"/>
  <c r="C629" i="47"/>
  <c r="C633" i="47"/>
  <c r="L43" i="40" s="1"/>
  <c r="J377" i="47" l="1"/>
  <c r="L377" i="47" s="1"/>
  <c r="M377" i="47" s="1"/>
  <c r="J569" i="47"/>
  <c r="L569" i="47" s="1"/>
  <c r="M569" i="47" s="1"/>
  <c r="J570" i="47"/>
  <c r="J322" i="47"/>
  <c r="L322" i="47" s="1"/>
  <c r="M322" i="47" s="1"/>
  <c r="J321" i="47"/>
  <c r="L321" i="47" s="1"/>
  <c r="M321" i="47" s="1"/>
  <c r="K84" i="47"/>
  <c r="J320" i="47"/>
  <c r="L320" i="47" s="1"/>
  <c r="M320" i="47" s="1"/>
  <c r="J328" i="47"/>
  <c r="L328" i="47" s="1"/>
  <c r="M328" i="47" s="1"/>
  <c r="K83" i="47"/>
  <c r="M83" i="47" s="1"/>
  <c r="N83" i="47" s="1"/>
  <c r="J333" i="47"/>
  <c r="L333" i="47" s="1"/>
  <c r="M333" i="47" s="1"/>
  <c r="J332" i="47"/>
  <c r="J329" i="47"/>
  <c r="L329" i="47" s="1"/>
  <c r="M329" i="47" s="1"/>
  <c r="J330" i="47"/>
  <c r="L330" i="47" s="1"/>
  <c r="M330" i="47" s="1"/>
  <c r="J334" i="47"/>
  <c r="L334" i="47" s="1"/>
  <c r="M334" i="47" s="1"/>
  <c r="J331" i="47"/>
  <c r="L331" i="47" s="1"/>
  <c r="M331" i="47" s="1"/>
  <c r="J319" i="47"/>
  <c r="L319" i="47" s="1"/>
  <c r="M319" i="47" s="1"/>
  <c r="J324" i="47"/>
  <c r="L324" i="47" s="1"/>
  <c r="M324" i="47" s="1"/>
  <c r="J327" i="47"/>
  <c r="L327" i="47" s="1"/>
  <c r="M327" i="47" s="1"/>
  <c r="J315" i="47"/>
  <c r="J318" i="47"/>
  <c r="L318" i="47" s="1"/>
  <c r="M318" i="47" s="1"/>
  <c r="J326" i="47"/>
  <c r="L326" i="47" s="1"/>
  <c r="M326" i="47" s="1"/>
  <c r="J323" i="47"/>
  <c r="L323" i="47" s="1"/>
  <c r="M323" i="47" s="1"/>
  <c r="J325" i="47"/>
  <c r="L325" i="47" s="1"/>
  <c r="M325" i="47" s="1"/>
  <c r="J317" i="47"/>
  <c r="L317" i="47" s="1"/>
  <c r="M317" i="47" s="1"/>
  <c r="J316" i="47"/>
  <c r="L316" i="47" s="1"/>
  <c r="M316" i="47" s="1"/>
  <c r="J571" i="47"/>
  <c r="J236" i="47"/>
  <c r="J576" i="47"/>
  <c r="L576" i="47" s="1"/>
  <c r="M576" i="47" s="1"/>
  <c r="J243" i="47"/>
  <c r="L243" i="47" s="1"/>
  <c r="M243" i="47" s="1"/>
  <c r="J156" i="47"/>
  <c r="L156" i="47" s="1"/>
  <c r="M156" i="47" s="1"/>
  <c r="K81" i="47"/>
  <c r="M81" i="47" s="1"/>
  <c r="N81" i="47" s="1"/>
  <c r="J578" i="47"/>
  <c r="L578" i="47" s="1"/>
  <c r="M578" i="47" s="1"/>
  <c r="J240" i="47"/>
  <c r="L240" i="47" s="1"/>
  <c r="M240" i="47" s="1"/>
  <c r="J155" i="47"/>
  <c r="J160" i="47" s="1"/>
  <c r="J242" i="47"/>
  <c r="J239" i="47"/>
  <c r="K86" i="47"/>
  <c r="M86" i="47" s="1"/>
  <c r="N86" i="47" s="1"/>
  <c r="J575" i="47"/>
  <c r="L575" i="47" s="1"/>
  <c r="M575" i="47" s="1"/>
  <c r="J241" i="47"/>
  <c r="L241" i="47" s="1"/>
  <c r="M241" i="47" s="1"/>
  <c r="K87" i="47"/>
  <c r="M87" i="47" s="1"/>
  <c r="N87" i="47" s="1"/>
  <c r="J574" i="47"/>
  <c r="L574" i="47" s="1"/>
  <c r="M574" i="47" s="1"/>
  <c r="J577" i="47"/>
  <c r="L577" i="47" s="1"/>
  <c r="M577" i="47" s="1"/>
  <c r="J572" i="47"/>
  <c r="J237" i="47"/>
  <c r="K88" i="47"/>
  <c r="M88" i="47" s="1"/>
  <c r="N88" i="47" s="1"/>
  <c r="J376" i="47"/>
  <c r="L376" i="47" s="1"/>
  <c r="M376" i="47" s="1"/>
  <c r="J379" i="47"/>
  <c r="L379" i="47" s="1"/>
  <c r="M379" i="47" s="1"/>
  <c r="J378" i="47"/>
  <c r="L378" i="47" s="1"/>
  <c r="M378" i="47" s="1"/>
  <c r="K89" i="47"/>
  <c r="M89" i="47" s="1"/>
  <c r="N89" i="47" s="1"/>
  <c r="J244" i="47"/>
  <c r="J238" i="47"/>
  <c r="L238" i="47" s="1"/>
  <c r="M238" i="47" s="1"/>
  <c r="J573" i="47"/>
  <c r="L573" i="47" s="1"/>
  <c r="M573" i="47" s="1"/>
  <c r="J579" i="47"/>
  <c r="L579" i="47" s="1"/>
  <c r="M579" i="47" s="1"/>
  <c r="K82" i="47"/>
  <c r="M82" i="47" s="1"/>
  <c r="N82" i="47" s="1"/>
  <c r="L54" i="45"/>
  <c r="M54" i="45" s="1"/>
  <c r="J157" i="47"/>
  <c r="L157" i="47" s="1"/>
  <c r="E163" i="47"/>
  <c r="H591" i="47" s="1"/>
  <c r="H44" i="40" s="1"/>
  <c r="I44" i="40" s="1"/>
  <c r="L236" i="47"/>
  <c r="M236" i="47" s="1"/>
  <c r="L63" i="45"/>
  <c r="M63" i="45" s="1"/>
  <c r="L237" i="47"/>
  <c r="M237" i="47" s="1"/>
  <c r="L572" i="47"/>
  <c r="M572" i="47" s="1"/>
  <c r="L55" i="45"/>
  <c r="M55" i="45" s="1"/>
  <c r="L67" i="45"/>
  <c r="M67" i="45" s="1"/>
  <c r="E163" i="45"/>
  <c r="E115" i="48"/>
  <c r="E120" i="48" s="1"/>
  <c r="L56" i="45"/>
  <c r="M56" i="45" s="1"/>
  <c r="L57" i="45"/>
  <c r="M57" i="45" s="1"/>
  <c r="L58" i="45"/>
  <c r="M58" i="45" s="1"/>
  <c r="L571" i="47"/>
  <c r="M571" i="47" s="1"/>
  <c r="E119" i="48"/>
  <c r="L315" i="47"/>
  <c r="L66" i="45"/>
  <c r="M66" i="45" s="1"/>
  <c r="L61" i="45"/>
  <c r="M61" i="45" s="1"/>
  <c r="L570" i="47"/>
  <c r="M570" i="47" s="1"/>
  <c r="L62" i="45"/>
  <c r="M62" i="45" s="1"/>
  <c r="L242" i="47"/>
  <c r="M242" i="47" s="1"/>
  <c r="L59" i="45"/>
  <c r="M59" i="45" s="1"/>
  <c r="L60" i="45"/>
  <c r="M60" i="45" s="1"/>
  <c r="L65" i="45"/>
  <c r="M65" i="45" s="1"/>
  <c r="H100" i="48"/>
  <c r="I100" i="48" s="1"/>
  <c r="L332" i="47"/>
  <c r="M332" i="47" s="1"/>
  <c r="L239" i="47"/>
  <c r="M239" i="47" s="1"/>
  <c r="L64" i="45"/>
  <c r="M64" i="45" s="1"/>
  <c r="F159" i="47"/>
  <c r="F163" i="47" s="1"/>
  <c r="J423" i="47"/>
  <c r="M423" i="47"/>
  <c r="L423" i="47"/>
  <c r="D596" i="47" s="1"/>
  <c r="J108" i="48" s="1"/>
  <c r="J503" i="47"/>
  <c r="M503" i="47"/>
  <c r="L503" i="47"/>
  <c r="D599" i="47" s="1"/>
  <c r="I111" i="48" s="1"/>
  <c r="L603" i="47"/>
  <c r="G127" i="48" s="1"/>
  <c r="M13" i="48" s="1"/>
  <c r="K140" i="48"/>
  <c r="S629" i="47"/>
  <c r="J40" i="48"/>
  <c r="J29" i="48"/>
  <c r="P603" i="47"/>
  <c r="K127" i="48" s="1"/>
  <c r="O609" i="47" a="1"/>
  <c r="O609" i="47" s="1"/>
  <c r="N603" i="47"/>
  <c r="I127" i="48" s="1"/>
  <c r="M603" i="47"/>
  <c r="H127" i="48" s="1"/>
  <c r="D633" i="47"/>
  <c r="L44" i="40" s="1"/>
  <c r="L45" i="40" s="1"/>
  <c r="D629" i="47"/>
  <c r="J44" i="40"/>
  <c r="J45" i="40" s="1"/>
  <c r="O603" i="47"/>
  <c r="J127" i="48" s="1"/>
  <c r="Q609" i="47" a="1"/>
  <c r="Q609" i="47" s="1"/>
  <c r="K40" i="48"/>
  <c r="K29" i="48"/>
  <c r="H159" i="47"/>
  <c r="H163" i="47" s="1"/>
  <c r="C591" i="47" s="1"/>
  <c r="F45" i="40"/>
  <c r="H43" i="40"/>
  <c r="C634" i="47"/>
  <c r="P609" i="47" a="1"/>
  <c r="P609" i="47" s="1"/>
  <c r="H83" i="48"/>
  <c r="J83" i="48"/>
  <c r="C73" i="41"/>
  <c r="G83" i="48"/>
  <c r="I83" i="48"/>
  <c r="K83" i="48"/>
  <c r="R609" i="47" a="1"/>
  <c r="R609" i="47" s="1"/>
  <c r="K94" i="47" l="1"/>
  <c r="J246" i="47"/>
  <c r="L336" i="47"/>
  <c r="K91" i="47"/>
  <c r="M84" i="47"/>
  <c r="N84" i="47" s="1"/>
  <c r="N94" i="47" s="1"/>
  <c r="L244" i="47"/>
  <c r="M244" i="47" s="1"/>
  <c r="M246" i="47" s="1"/>
  <c r="M336" i="47"/>
  <c r="N92" i="47"/>
  <c r="N97" i="47" s="1"/>
  <c r="M92" i="47"/>
  <c r="M97" i="47" s="1"/>
  <c r="M91" i="47"/>
  <c r="M337" i="47"/>
  <c r="N91" i="47"/>
  <c r="H119" i="48"/>
  <c r="J381" i="47"/>
  <c r="N93" i="47"/>
  <c r="M381" i="47"/>
  <c r="L381" i="47"/>
  <c r="D595" i="47" s="1"/>
  <c r="J107" i="48" s="1"/>
  <c r="K92" i="47"/>
  <c r="K97" i="47" s="1"/>
  <c r="M581" i="47"/>
  <c r="J32" i="48"/>
  <c r="J44" i="48" s="1"/>
  <c r="J336" i="47"/>
  <c r="J335" i="47"/>
  <c r="K93" i="47"/>
  <c r="M93" i="47"/>
  <c r="I32" i="48"/>
  <c r="I44" i="48" s="1"/>
  <c r="J337" i="47"/>
  <c r="J581" i="47"/>
  <c r="L581" i="47"/>
  <c r="D600" i="47" s="1"/>
  <c r="D54" i="42" s="1"/>
  <c r="E54" i="42" s="1"/>
  <c r="L337" i="47"/>
  <c r="J159" i="47"/>
  <c r="J163" i="47" s="1"/>
  <c r="L159" i="47"/>
  <c r="L155" i="47"/>
  <c r="L160" i="47" s="1"/>
  <c r="L335" i="47"/>
  <c r="K32" i="48"/>
  <c r="K34" i="48" s="1"/>
  <c r="K36" i="48" s="1"/>
  <c r="K37" i="48" s="1"/>
  <c r="H32" i="48"/>
  <c r="H34" i="48" s="1"/>
  <c r="H36" i="48" s="1"/>
  <c r="H37" i="48" s="1"/>
  <c r="G32" i="48"/>
  <c r="G34" i="48" s="1"/>
  <c r="G36" i="48" s="1"/>
  <c r="G37" i="48" s="1"/>
  <c r="K108" i="48"/>
  <c r="H108" i="48"/>
  <c r="D76" i="41"/>
  <c r="E76" i="41" s="1"/>
  <c r="G108" i="48"/>
  <c r="I108" i="48"/>
  <c r="H111" i="48"/>
  <c r="D53" i="42"/>
  <c r="J111" i="48"/>
  <c r="K111" i="48"/>
  <c r="G111" i="48"/>
  <c r="M315" i="47"/>
  <c r="M335" i="47" s="1"/>
  <c r="M157" i="47"/>
  <c r="M159" i="47" s="1"/>
  <c r="N604" i="47"/>
  <c r="I128" i="48" s="1"/>
  <c r="O15" i="48" s="1"/>
  <c r="O16" i="48" s="1"/>
  <c r="M604" i="47"/>
  <c r="H128" i="48" s="1"/>
  <c r="N15" i="48" s="1"/>
  <c r="N16" i="48" s="1"/>
  <c r="L604" i="47"/>
  <c r="G128" i="48" s="1"/>
  <c r="M15" i="48" s="1"/>
  <c r="M16" i="48" s="1"/>
  <c r="H45" i="40"/>
  <c r="P604" i="47"/>
  <c r="K128" i="48" s="1"/>
  <c r="Q15" i="48" s="1"/>
  <c r="Q16" i="48" s="1"/>
  <c r="O604" i="47"/>
  <c r="J128" i="48" s="1"/>
  <c r="P15" i="48" s="1"/>
  <c r="P16" i="48" s="1"/>
  <c r="D634" i="47"/>
  <c r="I43" i="40"/>
  <c r="I45" i="40" s="1"/>
  <c r="P629" i="47"/>
  <c r="H140" i="48"/>
  <c r="H160" i="48" s="1"/>
  <c r="I140" i="48"/>
  <c r="I160" i="48" s="1"/>
  <c r="Q629" i="47"/>
  <c r="N13" i="48"/>
  <c r="O13" i="48"/>
  <c r="M14" i="48"/>
  <c r="J140" i="48"/>
  <c r="J160" i="48" s="1"/>
  <c r="R629" i="47"/>
  <c r="P13" i="48"/>
  <c r="Q13" i="48"/>
  <c r="H81" i="48"/>
  <c r="C44" i="40"/>
  <c r="K81" i="48"/>
  <c r="I81" i="48"/>
  <c r="G81" i="48"/>
  <c r="J81" i="48"/>
  <c r="C77" i="41"/>
  <c r="J100" i="48"/>
  <c r="I119" i="48"/>
  <c r="O629" i="47"/>
  <c r="G140" i="48"/>
  <c r="G160" i="48" s="1"/>
  <c r="K160" i="48"/>
  <c r="M160" i="48" s="1"/>
  <c r="M140" i="48"/>
  <c r="M94" i="47" l="1"/>
  <c r="K96" i="47"/>
  <c r="K99" i="47" s="1"/>
  <c r="L246" i="47"/>
  <c r="D593" i="47" s="1"/>
  <c r="K105" i="48" s="1"/>
  <c r="K113" i="48"/>
  <c r="G113" i="48"/>
  <c r="G107" i="48"/>
  <c r="I34" i="48"/>
  <c r="I36" i="48" s="1"/>
  <c r="I37" i="48" s="1"/>
  <c r="D75" i="41"/>
  <c r="E75" i="41" s="1"/>
  <c r="M96" i="47"/>
  <c r="M99" i="47" s="1"/>
  <c r="D590" i="47" s="1"/>
  <c r="J102" i="48" s="1"/>
  <c r="N96" i="47"/>
  <c r="N99" i="47" s="1"/>
  <c r="J338" i="47"/>
  <c r="J340" i="47" s="1"/>
  <c r="J34" i="48"/>
  <c r="J36" i="48" s="1"/>
  <c r="J37" i="48" s="1"/>
  <c r="H107" i="48"/>
  <c r="K107" i="48"/>
  <c r="I107" i="48"/>
  <c r="L163" i="47"/>
  <c r="D591" i="47" s="1"/>
  <c r="H103" i="48" s="1"/>
  <c r="H44" i="48"/>
  <c r="K44" i="48"/>
  <c r="I113" i="48"/>
  <c r="J113" i="48"/>
  <c r="M155" i="47"/>
  <c r="M160" i="47" s="1"/>
  <c r="M163" i="47" s="1"/>
  <c r="L338" i="47"/>
  <c r="L340" i="47" s="1"/>
  <c r="D594" i="47" s="1"/>
  <c r="D74" i="41" s="1"/>
  <c r="E74" i="41" s="1"/>
  <c r="G44" i="48"/>
  <c r="H113" i="48"/>
  <c r="D56" i="42"/>
  <c r="E53" i="42"/>
  <c r="E56" i="42" s="1"/>
  <c r="E57" i="42" s="1"/>
  <c r="M338" i="47"/>
  <c r="M340" i="47" s="1"/>
  <c r="H130" i="48"/>
  <c r="H131" i="48" s="1"/>
  <c r="I130" i="48"/>
  <c r="I131" i="48" s="1"/>
  <c r="K130" i="48"/>
  <c r="K131" i="48" s="1"/>
  <c r="M19" i="48"/>
  <c r="M20" i="48" s="1"/>
  <c r="G130" i="48"/>
  <c r="G131" i="48" s="1"/>
  <c r="J130" i="48"/>
  <c r="J131" i="48" s="1"/>
  <c r="O14" i="48"/>
  <c r="O19" i="48"/>
  <c r="O20" i="48" s="1"/>
  <c r="N19" i="48"/>
  <c r="N20" i="48" s="1"/>
  <c r="N14" i="48"/>
  <c r="H92" i="48"/>
  <c r="H94" i="48" s="1"/>
  <c r="H93" i="48"/>
  <c r="N27" i="48"/>
  <c r="J93" i="48"/>
  <c r="J92" i="48"/>
  <c r="J94" i="48" s="1"/>
  <c r="P27" i="48"/>
  <c r="P14" i="48"/>
  <c r="P19" i="48"/>
  <c r="P20" i="48" s="1"/>
  <c r="O27" i="48"/>
  <c r="I92" i="48"/>
  <c r="I94" i="48" s="1"/>
  <c r="I93" i="48"/>
  <c r="K93" i="48"/>
  <c r="K92" i="48"/>
  <c r="K94" i="48" s="1"/>
  <c r="Q27" i="48"/>
  <c r="C45" i="40"/>
  <c r="K100" i="48"/>
  <c r="J119" i="48"/>
  <c r="Q19" i="48"/>
  <c r="Q20" i="48" s="1"/>
  <c r="Q14" i="48"/>
  <c r="G93" i="48"/>
  <c r="M27" i="48"/>
  <c r="G92" i="48"/>
  <c r="G94" i="48" s="1"/>
  <c r="J105" i="48" l="1"/>
  <c r="D73" i="41"/>
  <c r="E73" i="41" s="1"/>
  <c r="E77" i="41" s="1"/>
  <c r="E78" i="41" s="1"/>
  <c r="G105" i="48"/>
  <c r="I105" i="48"/>
  <c r="H105" i="48"/>
  <c r="H102" i="48"/>
  <c r="D43" i="40"/>
  <c r="E43" i="40" s="1"/>
  <c r="K102" i="48"/>
  <c r="I102" i="48"/>
  <c r="G102" i="48"/>
  <c r="G103" i="48"/>
  <c r="D44" i="40"/>
  <c r="E44" i="40" s="1"/>
  <c r="K103" i="48"/>
  <c r="I103" i="48"/>
  <c r="J103" i="48"/>
  <c r="J106" i="48"/>
  <c r="K106" i="48"/>
  <c r="G106" i="48"/>
  <c r="H106" i="48"/>
  <c r="I106" i="48"/>
  <c r="M29" i="48"/>
  <c r="M40" i="48"/>
  <c r="Q29" i="48"/>
  <c r="Q40" i="48"/>
  <c r="P40" i="48"/>
  <c r="P29" i="48"/>
  <c r="N40" i="48"/>
  <c r="N29" i="48"/>
  <c r="K119" i="48"/>
  <c r="O40" i="48"/>
  <c r="O29" i="48"/>
  <c r="D77" i="41" l="1"/>
  <c r="E45" i="40"/>
  <c r="E46" i="40" s="1"/>
  <c r="H115" i="48"/>
  <c r="H120" i="48" s="1"/>
  <c r="H121" i="48" s="1"/>
  <c r="G114" i="48"/>
  <c r="G116" i="48" s="1"/>
  <c r="J115" i="48"/>
  <c r="J120" i="48" s="1"/>
  <c r="J121" i="48" s="1"/>
  <c r="P32" i="48"/>
  <c r="P34" i="48" s="1"/>
  <c r="P36" i="48" s="1"/>
  <c r="P37" i="48" s="1"/>
  <c r="J114" i="48"/>
  <c r="J116" i="48" s="1"/>
  <c r="K114" i="48"/>
  <c r="K116" i="48" s="1"/>
  <c r="Q32" i="48"/>
  <c r="Q34" i="48" s="1"/>
  <c r="Q36" i="48" s="1"/>
  <c r="Q37" i="48" s="1"/>
  <c r="M32" i="48"/>
  <c r="M34" i="48" s="1"/>
  <c r="M36" i="48" s="1"/>
  <c r="M37" i="48" s="1"/>
  <c r="D45" i="40"/>
  <c r="I115" i="48"/>
  <c r="I120" i="48" s="1"/>
  <c r="I121" i="48" s="1"/>
  <c r="K115" i="48"/>
  <c r="K120" i="48" s="1"/>
  <c r="K121" i="48" s="1"/>
  <c r="G115" i="48"/>
  <c r="G120" i="48" s="1"/>
  <c r="G121" i="48" s="1"/>
  <c r="N32" i="48"/>
  <c r="N34" i="48" s="1"/>
  <c r="N36" i="48" s="1"/>
  <c r="N37" i="48" s="1"/>
  <c r="H114" i="48"/>
  <c r="H116" i="48" s="1"/>
  <c r="I114" i="48"/>
  <c r="I116" i="48" s="1"/>
  <c r="O32" i="48"/>
  <c r="O34" i="48" s="1"/>
  <c r="O36" i="48" s="1"/>
  <c r="O37" i="48" s="1"/>
  <c r="P58" i="48"/>
  <c r="P62" i="48"/>
  <c r="P55" i="48"/>
  <c r="P64" i="48"/>
  <c r="P59" i="48"/>
  <c r="P56" i="48"/>
  <c r="P61" i="48"/>
  <c r="P54" i="48"/>
  <c r="P63" i="48"/>
  <c r="P57" i="48"/>
  <c r="P60" i="48"/>
  <c r="Q44" i="48" l="1"/>
  <c r="O56" i="48" s="1"/>
  <c r="M44" i="48"/>
  <c r="P44" i="48"/>
  <c r="N44" i="48"/>
  <c r="O44" i="48"/>
  <c r="O64" i="48" l="1"/>
  <c r="O57" i="48"/>
  <c r="O55" i="48"/>
  <c r="O60" i="48"/>
  <c r="O54" i="48"/>
  <c r="O58" i="48"/>
  <c r="O59" i="48"/>
  <c r="O62" i="48"/>
  <c r="O63" i="48"/>
  <c r="O61" i="48"/>
  <c r="H34"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<sst xmlns="http://schemas.openxmlformats.org/spreadsheetml/2006/main" count="1768" uniqueCount="748">
  <si>
    <t>Collaborative Aotearoa</t>
  </si>
  <si>
    <t>General practice financial modelling tool</t>
  </si>
  <si>
    <t>How much would it cost to modernise my practice?</t>
  </si>
  <si>
    <t xml:space="preserve">This is a tool to help practice managers and owners understand what it might cost to modernise their practice. </t>
  </si>
  <si>
    <t xml:space="preserve">This tool provides a useful starting point, however, before making changes we recommend undertaking your own </t>
  </si>
  <si>
    <t>due diligence and speaking to your accountant or trusted financial advisor.</t>
  </si>
  <si>
    <t>How to use this tool</t>
  </si>
  <si>
    <t>Step through the questions in this tool to estimate the impact of changes to your operating model. The first step is to enter</t>
  </si>
  <si>
    <t>basic information about your practice. From there we look at what changes could be made to modernise your practice.</t>
  </si>
  <si>
    <t xml:space="preserve">The changes fall under three areas: </t>
  </si>
  <si>
    <t xml:space="preserve">        •  Urgent and unplanned care</t>
  </si>
  <si>
    <t xml:space="preserve">        •  Proactive and preventative care, and</t>
  </si>
  <si>
    <t xml:space="preserve">        •  Business efficiency.</t>
  </si>
  <si>
    <t>You can enter information in any of the grey boxes e.g.</t>
  </si>
  <si>
    <t xml:space="preserve"> throughout this spreadsheet.</t>
  </si>
  <si>
    <t>Information entered into the grey boxes will overwrite defaults and flow through to the results.</t>
  </si>
  <si>
    <t>Use of default values</t>
  </si>
  <si>
    <t>Defaults for consultations, staffing, revenue, expenditure and model inputs are used to pre-populate this model.</t>
  </si>
  <si>
    <t>If you would prefer, you can enter your own detailed practice information or tweak the defaults.</t>
  </si>
  <si>
    <t>Links to do this are provided throughout the tool.</t>
  </si>
  <si>
    <t>Disclaimer:</t>
  </si>
  <si>
    <t xml:space="preserve">The content of this email is confidential and intended for the recipient(s) specified in the message only. It is strictly forbidden </t>
  </si>
  <si>
    <t>to share any part of this message with any third party, without a written consent of the sender.</t>
  </si>
  <si>
    <t xml:space="preserve">If you received this message by mistake, please inform Tū Ora by replying to this message and then deleting it, so that we can </t>
  </si>
  <si>
    <t>ensure such a mistake does not occur again.</t>
  </si>
  <si>
    <t>Version 1: Updated 22/7/2024</t>
  </si>
  <si>
    <t>About my practice</t>
  </si>
  <si>
    <t>Basic information about your practice.</t>
  </si>
  <si>
    <t>Inputs</t>
  </si>
  <si>
    <t>Is your practice VLCA or non-VLCA?</t>
  </si>
  <si>
    <t>VLCA</t>
  </si>
  <si>
    <t>How many people are enrolled in your practice?</t>
  </si>
  <si>
    <t xml:space="preserve">Compared to the general population, how would you describe </t>
  </si>
  <si>
    <t xml:space="preserve">the health needs of your practice population?  </t>
  </si>
  <si>
    <t>High</t>
  </si>
  <si>
    <t>Characteristics of low, moderate and high needs populations</t>
  </si>
  <si>
    <t>Low</t>
  </si>
  <si>
    <t>Moderate</t>
  </si>
  <si>
    <t>•  Low propotion of Māori or Pacific patients, OR</t>
  </si>
  <si>
    <t xml:space="preserve">•  Practice population mirrors the general </t>
  </si>
  <si>
    <t>•  High propotion of Māori or Pacific patients, OR</t>
  </si>
  <si>
    <t>•  Low proportion of people living in high deprivation areas, OR</t>
  </si>
  <si>
    <t xml:space="preserve">    population in terms of age, ethnicity</t>
  </si>
  <si>
    <t>•  High proportion of people living in high deprivation areas, OR</t>
  </si>
  <si>
    <t>•  Younger than the average population</t>
  </si>
  <si>
    <t xml:space="preserve">    and deprivation</t>
  </si>
  <si>
    <t>•  High proportion of elderly with complex health need</t>
  </si>
  <si>
    <t>Summary of current state volumes and net profit</t>
  </si>
  <si>
    <t>Activity</t>
  </si>
  <si>
    <t>GP/NP</t>
  </si>
  <si>
    <t>Other*</t>
  </si>
  <si>
    <t>Consultations</t>
  </si>
  <si>
    <t>Rate per ESU</t>
  </si>
  <si>
    <t>* Includes consultations with a nurse or other extended team members</t>
  </si>
  <si>
    <t>Financial</t>
  </si>
  <si>
    <t>Annual amount (ex GST)</t>
  </si>
  <si>
    <t>Revenue</t>
  </si>
  <si>
    <t>Expenditure</t>
  </si>
  <si>
    <t>Net profit (before tax)</t>
  </si>
  <si>
    <t>Net profit margin</t>
  </si>
  <si>
    <t>Immediate and Unplanned Care</t>
  </si>
  <si>
    <t>Opportunities</t>
  </si>
  <si>
    <t>Immediate and Unplanned Care. Our patients and their families deserve nothing less than swift clinical support when illness strikes or health worries arise. COVID-19 sparked a revolution in how general practices across Aotearoa respond to acute and unexpected care needs. Introducing acute clinics ensures same-day access for patients while streamlining operations for maximum efficiency and impact. This resource invites you to reimagine your approach, transforming routine appointments into opportunities for dynamic, responsive care.</t>
  </si>
  <si>
    <t>Understanding your acute demand</t>
  </si>
  <si>
    <t>To fill in this section well you'll need to understand your acute demand over a week, and how this changes throughout the year.</t>
  </si>
  <si>
    <t>The output of this analysis will dictate the amount of time, space and resource required to manage demand</t>
  </si>
  <si>
    <t>Guidance on how to do this is available on the Collaborative Aotearoa site here:</t>
  </si>
  <si>
    <t>Do you want to model changes for:</t>
  </si>
  <si>
    <t>Phone triage</t>
  </si>
  <si>
    <t>Dedicated urgent care roles</t>
  </si>
  <si>
    <t>We model two options that can be used to help manage demand: phone triage, non-GP urgent care roles.</t>
  </si>
  <si>
    <t>Call back by a clinician (typically a GP) to assess and triage same day demand</t>
  </si>
  <si>
    <t>The rate of calls resolved in triage is significantly higher for GPs than nurses</t>
  </si>
  <si>
    <t>Default</t>
  </si>
  <si>
    <t>During a typical week, how many people call asking for a same day appointment?</t>
  </si>
  <si>
    <t>What percentage of triage calls would be made by a GP</t>
  </si>
  <si>
    <t>How much do you intend to charge (GST Inclusive) for a triage call ?</t>
  </si>
  <si>
    <t>A non-GP role to manage urgent and unplanned demand, and reduce relaince on GPs</t>
  </si>
  <si>
    <t>In a typical week, how many consultations are for urgent and unplanned care?</t>
  </si>
  <si>
    <t>How many people would you refer to another service due to a lack of capacity?</t>
  </si>
  <si>
    <t>How much has it cost to refer people to other services in the last year? e.g. vouchers</t>
  </si>
  <si>
    <t>FTE Reqd.</t>
  </si>
  <si>
    <t>GP oversight (FTE)</t>
  </si>
  <si>
    <t>Select role to manage urgent and unplanned demand</t>
  </si>
  <si>
    <t>Paramedic, extended care</t>
  </si>
  <si>
    <t>Financial impact of proposed changes</t>
  </si>
  <si>
    <t>Net Profit</t>
  </si>
  <si>
    <t>FTE</t>
  </si>
  <si>
    <t>Expenses</t>
  </si>
  <si>
    <t>Net profit</t>
  </si>
  <si>
    <t>Nurse</t>
  </si>
  <si>
    <t>Other clinical</t>
  </si>
  <si>
    <t>Total</t>
  </si>
  <si>
    <t>Triage*</t>
  </si>
  <si>
    <t>Urgent care role</t>
  </si>
  <si>
    <t>Note:</t>
  </si>
  <si>
    <t>Proactive, Routine and Preventative Care</t>
  </si>
  <si>
    <t>Proactive care is precisely that – taking a proactive stance towards the health of your practice's population. By examining your patient demographic, you can identify those who frequently seek medical attention and tailor healthcare approaches to better suit their needs. Within this realm lies the opportunity to harness the expertise of your extended care teams. Effectively managing long-term conditions through the support of nurses and health coaches is just one avenue. Another promising approach is shared medical appointments, fostering a collaborative environment for enhanced patient care and outcomes.
Routine and Preventive Care supports patients in accessing general practice services to keep them well. Technology enablers can aid both patient wellbeing and engagement in their health journey while reducing the need for physical visits to your general practice. Funding in general practice is often linked to preventive care appointments, such as immunisation.</t>
  </si>
  <si>
    <t>Extended care teams</t>
  </si>
  <si>
    <t>Care planning and MDTs</t>
  </si>
  <si>
    <t>No</t>
  </si>
  <si>
    <t>Technology to support access (portal)</t>
  </si>
  <si>
    <t>Extended hours</t>
  </si>
  <si>
    <t>We model several options that can be used to help manage demand: phone triage, non-GP urgent care roles.</t>
  </si>
  <si>
    <t>Non-traditional general practice roles to provide a wider range of services in-practice.</t>
  </si>
  <si>
    <t>What new roles would be added to the care team?</t>
  </si>
  <si>
    <t>Default consultation inputs</t>
  </si>
  <si>
    <t>Role (select using drop downs)</t>
  </si>
  <si>
    <t>Funded*?</t>
  </si>
  <si>
    <t>FTE**</t>
  </si>
  <si>
    <t>Standard consultation length (mins)</t>
  </si>
  <si>
    <t>Average co-pay per consult</t>
  </si>
  <si>
    <t>% non-contact time</t>
  </si>
  <si>
    <t>Health Improvement Practitioner (HIP)</t>
  </si>
  <si>
    <t xml:space="preserve">The model assumes all roles are in addtition to existing workload. If there are offsets to other staff, click below: </t>
  </si>
  <si>
    <t>Detailed inputs for extended care teams</t>
  </si>
  <si>
    <t>* Is funding provided to cover the cost of the role?</t>
  </si>
  <si>
    <t>** 1 FTE is equivalent to 10 sessions a week, or a standard 40 hour work week</t>
  </si>
  <si>
    <t>Practive care planning based on an individual's needs</t>
  </si>
  <si>
    <t>Defaults</t>
  </si>
  <si>
    <t>Number of people requiring a care plan</t>
  </si>
  <si>
    <t>How many new plans can be written each year?</t>
  </si>
  <si>
    <t>How often would MDT meetings be held?</t>
  </si>
  <si>
    <t>Monthly</t>
  </si>
  <si>
    <t>Technology to support access (patient portal, virtual consults)</t>
  </si>
  <si>
    <t>Supporting alternative ways for people to engage with clinicians and the practice</t>
  </si>
  <si>
    <t>Eligible population (16+)</t>
  </si>
  <si>
    <t>Current portal users (active)</t>
  </si>
  <si>
    <t>Target %</t>
  </si>
  <si>
    <t>Extended hours for routine and preventative care</t>
  </si>
  <si>
    <t>Extending work hours to meet routine demand outside normal hours</t>
  </si>
  <si>
    <t>Extended hours is not to address demand for urgent or unplanned care</t>
  </si>
  <si>
    <t>Extra hours the practice would be open per week?</t>
  </si>
  <si>
    <t>What level of staffing would be required during extended hours?</t>
  </si>
  <si>
    <t>Role</t>
  </si>
  <si>
    <t>Headcount</t>
  </si>
  <si>
    <t>General practitioner</t>
  </si>
  <si>
    <t>Reception / Administrator</t>
  </si>
  <si>
    <t>Staff for extended hours can be on top of existing FTE, or staff could flex their hours without working additional time</t>
  </si>
  <si>
    <t>Which should we model, additional FTE or Flexed?</t>
  </si>
  <si>
    <t>Additional</t>
  </si>
  <si>
    <t>GP</t>
  </si>
  <si>
    <t>Non-clinical</t>
  </si>
  <si>
    <t>Care plans and MDTs</t>
  </si>
  <si>
    <t>Portal and VCs</t>
  </si>
  <si>
    <t>Business Efficiency</t>
  </si>
  <si>
    <t>Promoting sustainability is paramount in enhancing the patient/whānau experience and achieving superior health outcomes. Every practice must prioritise sustainability to maintain its ability to serve the community effectively. This aspect allows you to assess your business operations and identify opportunities for positive change, ultimately leading to enhanced outcomes.</t>
  </si>
  <si>
    <t>Call management</t>
  </si>
  <si>
    <t>Daily huddles</t>
  </si>
  <si>
    <t>Clinical Assistants / Healthcare Assistants</t>
  </si>
  <si>
    <t>Additional space</t>
  </si>
  <si>
    <t>We model several options to improve business efficiency</t>
  </si>
  <si>
    <t>Call management (off front desk)</t>
  </si>
  <si>
    <t>Calls off front desk, ensuring sufficient call handling capacity to meet call demand. Monitoring dropped call rate, wait times and quality</t>
  </si>
  <si>
    <t>Additional FTE required to meet call volume*</t>
  </si>
  <si>
    <t>* Guide for how many staff are needed to answer the phone:</t>
  </si>
  <si>
    <t>Erlang calculator</t>
  </si>
  <si>
    <t>Daily Huddles</t>
  </si>
  <si>
    <t>Short stand-up meeting at the start of the day to go over the days bookings and coordinate activity</t>
  </si>
  <si>
    <t>Do you currently do daily huddles?</t>
  </si>
  <si>
    <t>Clinical Assistants and Healthcare Assistants</t>
  </si>
  <si>
    <t>Additional roles to support GPs and nurses with routine clinical or administrative tasks, and free up time</t>
  </si>
  <si>
    <t>Expected net time savings</t>
  </si>
  <si>
    <t>Role*</t>
  </si>
  <si>
    <t>Existing FTE</t>
  </si>
  <si>
    <t>Proposed FTE</t>
  </si>
  <si>
    <t>Other</t>
  </si>
  <si>
    <t>Clinical Assistant</t>
  </si>
  <si>
    <t>Healthcare Assistant</t>
  </si>
  <si>
    <t>These roles are designed to free up clinical staff time. Assumptions about the time saved can be altered here:</t>
  </si>
  <si>
    <t>Time saving assumptions</t>
  </si>
  <si>
    <t xml:space="preserve">* Definition of these roles are available on the Collaborative Aotearoa website here: </t>
  </si>
  <si>
    <t>Consultation and waiting room space</t>
  </si>
  <si>
    <t xml:space="preserve">Additional space to mange urgent &amp; unplanned care, separate from planned care </t>
  </si>
  <si>
    <t>e.g. separate waiting area, additional consultation rooms, off stage areas</t>
  </si>
  <si>
    <t>Things to consider: can existing space be repurposed? Can space be freed up by enabling</t>
  </si>
  <si>
    <t>hybrid (WFH/in-practice) arrangements?</t>
  </si>
  <si>
    <t>Current floor area (sqm)</t>
  </si>
  <si>
    <t>n/a</t>
  </si>
  <si>
    <t>Additonal space required (sqm)</t>
  </si>
  <si>
    <t>CA's and HCA's*</t>
  </si>
  <si>
    <t>*Time savings due to the the addition of CA's and HCA's are assumed to be repurposed back into deleivery of services</t>
  </si>
  <si>
    <t>Results</t>
  </si>
  <si>
    <t>Status Quo</t>
  </si>
  <si>
    <t>Proposal</t>
  </si>
  <si>
    <t>Projections</t>
  </si>
  <si>
    <t>Consultation volumes</t>
  </si>
  <si>
    <t>Baseline</t>
  </si>
  <si>
    <t>Year 1</t>
  </si>
  <si>
    <t>Year 2</t>
  </si>
  <si>
    <t>Year 3</t>
  </si>
  <si>
    <t>Year 4</t>
  </si>
  <si>
    <t>Year 5</t>
  </si>
  <si>
    <t>Population</t>
  </si>
  <si>
    <t>% growth</t>
  </si>
  <si>
    <t>GP/NP consultations</t>
  </si>
  <si>
    <t>Other clinical consultations*</t>
  </si>
  <si>
    <t>Other patient contacts**</t>
  </si>
  <si>
    <t>Total patient contacts</t>
  </si>
  <si>
    <t>* Includes consultations with a nurse or another extended team member</t>
  </si>
  <si>
    <t>** Includes short contacts via other processes e.g. resolved in triage</t>
  </si>
  <si>
    <t>Activity based</t>
  </si>
  <si>
    <t>Population based</t>
  </si>
  <si>
    <t>Total Revenue</t>
  </si>
  <si>
    <t>Variable</t>
  </si>
  <si>
    <t>Fixed</t>
  </si>
  <si>
    <t>Total expenses</t>
  </si>
  <si>
    <t>% profit margin</t>
  </si>
  <si>
    <t>Average revenue</t>
  </si>
  <si>
    <t>Activity  based</t>
  </si>
  <si>
    <t>Population revenue</t>
  </si>
  <si>
    <t>Average cost</t>
  </si>
  <si>
    <t>Change in revenue and cost per ESU by number of contacts per year</t>
  </si>
  <si>
    <t xml:space="preserve">The charts to the right compare the average cost to the average </t>
  </si>
  <si>
    <t>revenue for a person enrolled based on the inputs provided in this</t>
  </si>
  <si>
    <t>tool.</t>
  </si>
  <si>
    <t>Cost (SQ)</t>
  </si>
  <si>
    <t>Revenue (SQ)</t>
  </si>
  <si>
    <t>Cost (Proposed)</t>
  </si>
  <si>
    <t>Revenue (Proposed)</t>
  </si>
  <si>
    <t xml:space="preserve">For each person, the practice receives capitation funding and </t>
  </si>
  <si>
    <t>possibly some other income related to having that person enrolled.</t>
  </si>
  <si>
    <t>Practice costs are made up of fixed costs (e.g. rent) and variable</t>
  </si>
  <si>
    <t xml:space="preserve">costs (e.g. staff time, consumables, power, IT etc). </t>
  </si>
  <si>
    <t>The difference between revenue and cost is the net profit per person.</t>
  </si>
  <si>
    <t>If a person receives no consultations during the year, the profit margin</t>
  </si>
  <si>
    <t>is high because costs are low and capitation funding is fixed regardless</t>
  </si>
  <si>
    <t>of the number of consults.</t>
  </si>
  <si>
    <t xml:space="preserve">For additional consultation, the practice generates revenue </t>
  </si>
  <si>
    <t>(co-payments or subsidies) but incurs costs in staff time, consum-</t>
  </si>
  <si>
    <t>ables etc (variable costs). Net profit typically reduces with each</t>
  </si>
  <si>
    <t xml:space="preserve">additional consultation because average costs per consult are higher </t>
  </si>
  <si>
    <t>than average revenue.</t>
  </si>
  <si>
    <t xml:space="preserve">Disclaimer: these charts are to demonstrate concepts about fixed and variable revenue and cost and shows how the changes proposed in this tool impact these lines.  </t>
  </si>
  <si>
    <t>It represents a simplistic average view per ESU, and actual profitability will depend on many factors including the practice, person and the services offered.</t>
  </si>
  <si>
    <t>Summary of changes by component</t>
  </si>
  <si>
    <t>Start month*</t>
  </si>
  <si>
    <t>Months until implemented**</t>
  </si>
  <si>
    <t>Status quo</t>
  </si>
  <si>
    <t>Urgent and Unplanned</t>
  </si>
  <si>
    <t>Triage</t>
  </si>
  <si>
    <t>Proactive and Preventative Care</t>
  </si>
  <si>
    <t>Extended care team</t>
  </si>
  <si>
    <t>Care plans</t>
  </si>
  <si>
    <t>Portal, VC</t>
  </si>
  <si>
    <t>Call mgmt</t>
  </si>
  <si>
    <t>Huddles</t>
  </si>
  <si>
    <t>CA/HCA</t>
  </si>
  <si>
    <t>Total change in revenue</t>
  </si>
  <si>
    <t>Proposed changes</t>
  </si>
  <si>
    <t>% Change</t>
  </si>
  <si>
    <t>*1 = 1st month of Year 1</t>
  </si>
  <si>
    <t>** How many months will it take to fully implement the change? Costs and revenue ramp up as implementation occurs</t>
  </si>
  <si>
    <t>Total change in expenditure</t>
  </si>
  <si>
    <t>Total expenditure (proposed)</t>
  </si>
  <si>
    <t>Net profit (Status quo)</t>
  </si>
  <si>
    <t>Net profit (Proposed)</t>
  </si>
  <si>
    <t>Gain/Loss</t>
  </si>
  <si>
    <t>Total change in patient contacts</t>
  </si>
  <si>
    <t>% change</t>
  </si>
  <si>
    <t>Detailed Practice Inputs</t>
  </si>
  <si>
    <t xml:space="preserve">This page can be used to enter practice specific inputs, rather than rely on the defaults provided. Some information is already pre-populated from your inputs in other tabs in this spreadsheet </t>
  </si>
  <si>
    <r>
      <rPr>
        <b/>
        <sz val="11"/>
        <color theme="1"/>
        <rFont val="Calibri"/>
        <family val="2"/>
        <scheme val="minor"/>
      </rPr>
      <t>Enter your own data into the grey shaded cells in the User Input column</t>
    </r>
    <r>
      <rPr>
        <sz val="11"/>
        <color theme="1"/>
        <rFont val="Calibri"/>
        <family val="2"/>
        <scheme val="minor"/>
      </rPr>
      <t xml:space="preserve"> to override the defaults</t>
    </r>
  </si>
  <si>
    <t>Enter your enrolled population below</t>
  </si>
  <si>
    <t>User input</t>
  </si>
  <si>
    <t>Deptivation quintile</t>
  </si>
  <si>
    <t>Used in the model</t>
  </si>
  <si>
    <t>Age</t>
  </si>
  <si>
    <t>Unknown</t>
  </si>
  <si>
    <t>_00-04</t>
  </si>
  <si>
    <t>_05-14</t>
  </si>
  <si>
    <t>_15-24</t>
  </si>
  <si>
    <t>_25-44</t>
  </si>
  <si>
    <t>_45-64</t>
  </si>
  <si>
    <t>_65+</t>
  </si>
  <si>
    <t>Staffing</t>
  </si>
  <si>
    <t>How many full-time equivalent staff (FTE) do you currently employ in the following roles?</t>
  </si>
  <si>
    <t>1 FTE is equivalent to 10 sessions a week, or a standard 40 hour work week</t>
  </si>
  <si>
    <t>Current FTE</t>
  </si>
  <si>
    <t>Annual Cost per FTE</t>
  </si>
  <si>
    <t>Weeks annual leave per FTE</t>
  </si>
  <si>
    <t>Typical weeks annual leave per FTE</t>
  </si>
  <si>
    <t>Cost per minute</t>
  </si>
  <si>
    <t>Hours worked per FTE per year</t>
  </si>
  <si>
    <t>Nurse practitioner</t>
  </si>
  <si>
    <t>Practice Manager</t>
  </si>
  <si>
    <t>Pharmacist</t>
  </si>
  <si>
    <t>Podiatrist</t>
  </si>
  <si>
    <t>Physiotherapist</t>
  </si>
  <si>
    <t>Social Worker</t>
  </si>
  <si>
    <t>Health Coach</t>
  </si>
  <si>
    <t>Kaiāwhina / Community health worker</t>
  </si>
  <si>
    <t>Care coordinator</t>
  </si>
  <si>
    <t>new role</t>
  </si>
  <si>
    <t>Total FTE</t>
  </si>
  <si>
    <t>Number of consultations per year*</t>
  </si>
  <si>
    <t>Length of a standard consultation (minutes)</t>
  </si>
  <si>
    <t>Average Co-payment (GST inclusive)**</t>
  </si>
  <si>
    <t>Contact time (as a % of total hours worked)</t>
  </si>
  <si>
    <t>Average Co-payment (GST exclusive)</t>
  </si>
  <si>
    <t>Average Variable cost per consultation</t>
  </si>
  <si>
    <t>Net gain/loss per consult</t>
  </si>
  <si>
    <t xml:space="preserve">* Ideally, use the same 12 month period for the number of consultations, financial information and FTE. </t>
  </si>
  <si>
    <t xml:space="preserve">** Enter the average co-payment amount (GST inclusive). Some consults are free (children), others have a charge. When calculating the average include all co-payment income generated by the practitioner. </t>
  </si>
  <si>
    <t xml:space="preserve">     When we model changes to consults we need the average as we do not distinguish between free/paid consults.</t>
  </si>
  <si>
    <t>Revenue and Expenses (GST exclusive)</t>
  </si>
  <si>
    <t>This section asks for financial information that should be available from your most recent P&amp;L statement</t>
  </si>
  <si>
    <t>Guidance on fixed or variable revenue and expenditure classifications:</t>
  </si>
  <si>
    <t>•  If the amount changes when people provide services, it is likely variable.</t>
  </si>
  <si>
    <t>•  If the amount is largely unaffected by providing services, it is likely fixed.</t>
  </si>
  <si>
    <t>Population based revenue (fixed)</t>
  </si>
  <si>
    <t>Amount (GST exclusive)</t>
  </si>
  <si>
    <t>Capitation funding</t>
  </si>
  <si>
    <t>SIA</t>
  </si>
  <si>
    <t>Care plus</t>
  </si>
  <si>
    <t>Rural funding</t>
  </si>
  <si>
    <t>Activity based revenue (variable)</t>
  </si>
  <si>
    <t>Co-payments</t>
  </si>
  <si>
    <t>Immunisations</t>
  </si>
  <si>
    <t>Maternity</t>
  </si>
  <si>
    <t>ACC</t>
  </si>
  <si>
    <t xml:space="preserve"> </t>
  </si>
  <si>
    <t>Total operating revenue</t>
  </si>
  <si>
    <t>Salaries (variable)</t>
  </si>
  <si>
    <t>Direct costs</t>
  </si>
  <si>
    <t>Kiwisaver</t>
  </si>
  <si>
    <t>ACC+Kiwisaver %</t>
  </si>
  <si>
    <t>Overheads (variable)</t>
  </si>
  <si>
    <t>e.g. Consumables</t>
  </si>
  <si>
    <t>e.g. IT</t>
  </si>
  <si>
    <t>e.g. Power</t>
  </si>
  <si>
    <t>e.g. Maintenance</t>
  </si>
  <si>
    <t>Overheads (fixed)</t>
  </si>
  <si>
    <t>Rent per annum</t>
  </si>
  <si>
    <t>e.g. Insurance</t>
  </si>
  <si>
    <t>e.g. Rates</t>
  </si>
  <si>
    <t>Average costs</t>
  </si>
  <si>
    <t>per ESU</t>
  </si>
  <si>
    <t>per consult</t>
  </si>
  <si>
    <t>per minute</t>
  </si>
  <si>
    <t>Average variable revenue (activity driven)</t>
  </si>
  <si>
    <t>varies based on who delivers the consultation and for how long</t>
  </si>
  <si>
    <t>Average fixed revenue (population driven)</t>
  </si>
  <si>
    <t>varies based on consultation volumes and length</t>
  </si>
  <si>
    <t>Average variable cost</t>
  </si>
  <si>
    <t>per minute in consult</t>
  </si>
  <si>
    <t>Direct (practitioners that deliver consultation activity)</t>
  </si>
  <si>
    <t>Indirect (overheads, support and administration staff)</t>
  </si>
  <si>
    <t xml:space="preserve">Fixed cost </t>
  </si>
  <si>
    <t>Detailed inputs for proposed changes</t>
  </si>
  <si>
    <t>Urgent and Unplanned Care</t>
  </si>
  <si>
    <t>Phone Triage</t>
  </si>
  <si>
    <t>Status Quo (fill this in only if you currently offer phone triage)</t>
  </si>
  <si>
    <r>
      <t xml:space="preserve">Number of calls made, in the </t>
    </r>
    <r>
      <rPr>
        <b/>
        <sz val="11"/>
        <color theme="1"/>
        <rFont val="Calibri"/>
        <family val="2"/>
        <scheme val="minor"/>
      </rPr>
      <t>last 12 months</t>
    </r>
  </si>
  <si>
    <r>
      <t>Number of calls resolved in triage, in the</t>
    </r>
    <r>
      <rPr>
        <b/>
        <sz val="11"/>
        <color theme="1"/>
        <rFont val="Calibri"/>
        <family val="2"/>
        <scheme val="minor"/>
      </rPr>
      <t xml:space="preserve"> last 12 months</t>
    </r>
  </si>
  <si>
    <r>
      <t xml:space="preserve">Triage revenue received, in the </t>
    </r>
    <r>
      <rPr>
        <b/>
        <sz val="11"/>
        <color theme="1"/>
        <rFont val="Calibri"/>
        <family val="2"/>
        <scheme val="minor"/>
      </rPr>
      <t>last 12 months</t>
    </r>
  </si>
  <si>
    <t>Percentage of calls made by a GP</t>
  </si>
  <si>
    <t>Average time per call + admin (minutes)</t>
  </si>
  <si>
    <t>Proposed</t>
  </si>
  <si>
    <t>Weekly demand for triage calls</t>
  </si>
  <si>
    <t>Average call length</t>
  </si>
  <si>
    <t>Admin/down time between calls (minutes)</t>
  </si>
  <si>
    <t>Enter the average co-payment amount (GST inclusive).</t>
  </si>
  <si>
    <t>Charge for phone triage services</t>
  </si>
  <si>
    <t>Charge for prescriptions or medical certificates</t>
  </si>
  <si>
    <t>Telephone consult</t>
  </si>
  <si>
    <t>Triage Outcomes</t>
  </si>
  <si>
    <t>Flow of calls to outcomes</t>
  </si>
  <si>
    <t>Resolved in triage</t>
  </si>
  <si>
    <t>Expected triage outcomes (per year)</t>
  </si>
  <si>
    <t>Resolved with prescription, medical certificate provided</t>
  </si>
  <si>
    <t>Resolved with advice only</t>
  </si>
  <si>
    <t>Brief advice only</t>
  </si>
  <si>
    <t>Not resolved, appointment scheduled</t>
  </si>
  <si>
    <t>Nurse consult</t>
  </si>
  <si>
    <t>Rx, med cert provided</t>
  </si>
  <si>
    <t>GP consult</t>
  </si>
  <si>
    <t>Triage calls made</t>
  </si>
  <si>
    <t>Not resolved, contact not made</t>
  </si>
  <si>
    <t xml:space="preserve">Not resolved, </t>
  </si>
  <si>
    <t>Urgent appointments</t>
  </si>
  <si>
    <t>appointment scheduled</t>
  </si>
  <si>
    <t>Of the appointments triaged and booked same day,</t>
  </si>
  <si>
    <t>what where considered urgent</t>
  </si>
  <si>
    <t>Contact not made</t>
  </si>
  <si>
    <t>One-off set-up costs</t>
  </si>
  <si>
    <t>Ongoing variable costs</t>
  </si>
  <si>
    <t>Calculations</t>
  </si>
  <si>
    <t>Annual volumes</t>
  </si>
  <si>
    <t>NP/Nurse</t>
  </si>
  <si>
    <t>Calls per year</t>
  </si>
  <si>
    <t>% resolved</t>
  </si>
  <si>
    <t>Volumes</t>
  </si>
  <si>
    <t>Outcome %</t>
  </si>
  <si>
    <t>Co-pay</t>
  </si>
  <si>
    <t>% not resolved, urgent appt booked</t>
  </si>
  <si>
    <t>Repurpose =  no change in time, impacts other activity currently undertaken</t>
  </si>
  <si>
    <t>Compensate = changes are in addition, no change to current consultations</t>
  </si>
  <si>
    <t>Annual impact</t>
  </si>
  <si>
    <t>Add = additional/reduced time leads to additional consultations</t>
  </si>
  <si>
    <t>Multiplier</t>
  </si>
  <si>
    <t>Change</t>
  </si>
  <si>
    <t>Change type</t>
  </si>
  <si>
    <t>Time (minutes)</t>
  </si>
  <si>
    <t>Triage (resolved)</t>
  </si>
  <si>
    <t>Co-payment</t>
  </si>
  <si>
    <t>Total revenue</t>
  </si>
  <si>
    <t>Staff cost</t>
  </si>
  <si>
    <t>Other variable</t>
  </si>
  <si>
    <t>Other fixed</t>
  </si>
  <si>
    <t>Change in Net Income</t>
  </si>
  <si>
    <t>Time</t>
  </si>
  <si>
    <t>Variable costs</t>
  </si>
  <si>
    <t>Time blocked to make triage calls</t>
  </si>
  <si>
    <t>Repurpose</t>
  </si>
  <si>
    <t>Consults avoided</t>
  </si>
  <si>
    <t>Compensate</t>
  </si>
  <si>
    <t>Consults avoided (time saving)</t>
  </si>
  <si>
    <t>Total impact by role</t>
  </si>
  <si>
    <t>Additional average cost</t>
  </si>
  <si>
    <t>Dedicated urgent care role</t>
  </si>
  <si>
    <t>Weekly consultations are for urgent and unplanned care</t>
  </si>
  <si>
    <t>Weekly, number of people refered to another service</t>
  </si>
  <si>
    <t>Role to manage demand</t>
  </si>
  <si>
    <t>Current Urgent Care practitioner</t>
  </si>
  <si>
    <t>How much GP oversight is required? (as a % of the urgent care practitioner's time)</t>
  </si>
  <si>
    <t>Co-payments and consult length</t>
  </si>
  <si>
    <t>Length of an urgent care consultation (minutes)</t>
  </si>
  <si>
    <t xml:space="preserve">** Enter the average co-payment amount (GST inclusive). Some consults are free (children), others have a charge. </t>
  </si>
  <si>
    <t>Cost per FTE is based on the salary inputs here:</t>
  </si>
  <si>
    <t>Salary inputs</t>
  </si>
  <si>
    <t>Reduction in cost of referring patients e.g. vouchers</t>
  </si>
  <si>
    <t>Consults/year</t>
  </si>
  <si>
    <t>Consult length</t>
  </si>
  <si>
    <t>Contact FTE</t>
  </si>
  <si>
    <t>Non-contact FTE</t>
  </si>
  <si>
    <t>Required FTE</t>
  </si>
  <si>
    <t>Current</t>
  </si>
  <si>
    <t>GP oversight</t>
  </si>
  <si>
    <t>Task substitution to new role</t>
  </si>
  <si>
    <t>Add</t>
  </si>
  <si>
    <t>GP clinical oversight</t>
  </si>
  <si>
    <t>Additional variable costs</t>
  </si>
  <si>
    <t>Proactive and preventative care</t>
  </si>
  <si>
    <t>Annual funding</t>
  </si>
  <si>
    <t>% non-contact time*</t>
  </si>
  <si>
    <t>e.g. Pharmacist</t>
  </si>
  <si>
    <t>* If the role you want added is not here, it may need to be added to the list of consulting practitioners on the Practice Inputs page</t>
  </si>
  <si>
    <t>consulting practitioners</t>
  </si>
  <si>
    <t>** Default value is the current GP non-contact time</t>
  </si>
  <si>
    <t>Impact (savings) on other roles</t>
  </si>
  <si>
    <t>How much time does this role save other staff?</t>
  </si>
  <si>
    <t xml:space="preserve">An example for a pharmacist is shown below. Assuming the pharmacist does 4 consults per day that would ordinarily be done by a GP, the saving would be 1 hour of GP time per day = 1/8hr day = -0.125 fte. </t>
  </si>
  <si>
    <t>FTE Saved</t>
  </si>
  <si>
    <t>New role</t>
  </si>
  <si>
    <t>Clinical oversight required</t>
  </si>
  <si>
    <t>If the role requires oversight (from a GP say) enter the time required.</t>
  </si>
  <si>
    <t>Using the pharmacist example,  they may require 30 mins GP oversight per day, this would be an additional 0.0625 FTE of GP time</t>
  </si>
  <si>
    <t>Oversight provided by</t>
  </si>
  <si>
    <t>Oversight in FTE</t>
  </si>
  <si>
    <t>e.g. PMS license</t>
  </si>
  <si>
    <t>New activity</t>
  </si>
  <si>
    <t>Substitution of activity</t>
  </si>
  <si>
    <t>Oversight</t>
  </si>
  <si>
    <t>Additional Ongoing costs</t>
  </si>
  <si>
    <t>Input</t>
  </si>
  <si>
    <t>Used</t>
  </si>
  <si>
    <t>Current activity</t>
  </si>
  <si>
    <t>Number of patients already receiving proactive care</t>
  </si>
  <si>
    <t>Average funding per person (Care Plus funding)</t>
  </si>
  <si>
    <t>Proposed activity</t>
  </si>
  <si>
    <t>Number of care plans required</t>
  </si>
  <si>
    <t>Number of care plans already developed</t>
  </si>
  <si>
    <t>Remainder to develop</t>
  </si>
  <si>
    <t>Expected future funding per person</t>
  </si>
  <si>
    <t>Time to develop each care plan</t>
  </si>
  <si>
    <t>Time (mins)</t>
  </si>
  <si>
    <t>Co-payment (GST Inclusive)</t>
  </si>
  <si>
    <t>Co-payment (GST excl)</t>
  </si>
  <si>
    <t>Typical activity for those with a care plan</t>
  </si>
  <si>
    <t>Multi-disciplinary team meetings</t>
  </si>
  <si>
    <t>Frequency</t>
  </si>
  <si>
    <t>Weekly</t>
  </si>
  <si>
    <t>Length of MDT meeting (minutes)</t>
  </si>
  <si>
    <t>Fortnightly</t>
  </si>
  <si>
    <t>Patients to be discussed per MDT</t>
  </si>
  <si>
    <t>Attendees</t>
  </si>
  <si>
    <t>Change in funding</t>
  </si>
  <si>
    <t>Care plan development</t>
  </si>
  <si>
    <t>Future activity</t>
  </si>
  <si>
    <t>MDT time</t>
  </si>
  <si>
    <t>Totals by role</t>
  </si>
  <si>
    <t>Patient portal</t>
  </si>
  <si>
    <t>Eligible population 16+</t>
  </si>
  <si>
    <t>Current portal users</t>
  </si>
  <si>
    <t>*User means patients who are registered and activated</t>
  </si>
  <si>
    <t>FTE change per person active on the portal*</t>
  </si>
  <si>
    <t>Forecast FTE Change</t>
  </si>
  <si>
    <t>* This modelling uses Sapere analysis to determine the impact of portal</t>
  </si>
  <si>
    <t>** Assumes additional time required to manage activity rather than reducing consultations</t>
  </si>
  <si>
    <t>Additional time required/savings</t>
  </si>
  <si>
    <t>Ongoing costs</t>
  </si>
  <si>
    <t>Flexed</t>
  </si>
  <si>
    <t>Required staffing</t>
  </si>
  <si>
    <t>Weekly costs and consultations</t>
  </si>
  <si>
    <t>Cost (salaries)</t>
  </si>
  <si>
    <t>Additional consults</t>
  </si>
  <si>
    <t>% increase in hourly rates for time outside normal hours</t>
  </si>
  <si>
    <t>Additional variable costs per consult</t>
  </si>
  <si>
    <t>Additional time required</t>
  </si>
  <si>
    <t>Additional FTE required to meet call volume</t>
  </si>
  <si>
    <t>e.g. Cost to shift to new call provider</t>
  </si>
  <si>
    <t>Ongoing fixed costs</t>
  </si>
  <si>
    <t>Call reporting</t>
  </si>
  <si>
    <t>Additional fixed costs</t>
  </si>
  <si>
    <t>Number of huddles per week</t>
  </si>
  <si>
    <t>Length of huddle (minutes)</t>
  </si>
  <si>
    <t>Staff attending (%)*</t>
  </si>
  <si>
    <t>* Expectation is that most staff attend but some won't because of clashes with start times, etc.</t>
  </si>
  <si>
    <t>e.g. whiteboard</t>
  </si>
  <si>
    <t>Consultations and waiting room space</t>
  </si>
  <si>
    <t>Fixed costs per SQM</t>
  </si>
  <si>
    <t>Clinical Assistant and Healthcare Assistants / Primary Care Practice Assistants</t>
  </si>
  <si>
    <t>Annual cost per FTE</t>
  </si>
  <si>
    <t>e.g. A clinical assistant manages GP inboxes, this saves an 30 mins of GP time a day across 5 GPs. Therefore we have saved 2.5 GP hours per day or 2.5/8hrs = -0.3125 FTE. We add this figure in the GP column below.</t>
  </si>
  <si>
    <t>Impact in FTE</t>
  </si>
  <si>
    <t>e.g. Clinical assistant</t>
  </si>
  <si>
    <t>If the role requires oversight (from a GP say) enter the percentage of time required. E.g. 30 mins GP oversight per 8 hour day would be an additional 0.0625 FTE GP time</t>
  </si>
  <si>
    <t>Implementation phasing</t>
  </si>
  <si>
    <t>Changes</t>
  </si>
  <si>
    <t>One-offs</t>
  </si>
  <si>
    <t>Model?</t>
  </si>
  <si>
    <t>Expense</t>
  </si>
  <si>
    <t>One-off</t>
  </si>
  <si>
    <t>GP/NP Consultations</t>
  </si>
  <si>
    <t>Nurse consultations</t>
  </si>
  <si>
    <t>Other consultations</t>
  </si>
  <si>
    <t>Other contacts</t>
  </si>
  <si>
    <t>Start month</t>
  </si>
  <si>
    <t>Months until implemented</t>
  </si>
  <si>
    <t>Urgent &amp; Unplanned</t>
  </si>
  <si>
    <t>GP consultations</t>
  </si>
  <si>
    <t>Clinical</t>
  </si>
  <si>
    <t>check</t>
  </si>
  <si>
    <t>Other non-clinical</t>
  </si>
  <si>
    <t>Default values and calculations</t>
  </si>
  <si>
    <t>Practice size</t>
  </si>
  <si>
    <t>Average</t>
  </si>
  <si>
    <t>&lt;2095</t>
  </si>
  <si>
    <t>2095 - 4366</t>
  </si>
  <si>
    <t>&gt;4367</t>
  </si>
  <si>
    <t>Practice size (ESU)</t>
  </si>
  <si>
    <t>min</t>
  </si>
  <si>
    <t>midpoint</t>
  </si>
  <si>
    <t>Staff ratios</t>
  </si>
  <si>
    <t>Multiplier based on consult rates</t>
  </si>
  <si>
    <t>max</t>
  </si>
  <si>
    <t>ESU per GP FTE [1]</t>
  </si>
  <si>
    <t>ESU per Nurse FTE [2]</t>
  </si>
  <si>
    <t>ESU per HCA FTE [3]</t>
  </si>
  <si>
    <t>x</t>
  </si>
  <si>
    <t>y</t>
  </si>
  <si>
    <t>ESU per Admin / reception [3]</t>
  </si>
  <si>
    <t>ESU per Practice manager [3]</t>
  </si>
  <si>
    <t>Sources/assumptions:</t>
  </si>
  <si>
    <t>Average staff ratios scaled up/down based on consultation rate</t>
  </si>
  <si>
    <t>[1] Fitting straight line to ratios from: (2018) Characteristics of a stratified random sample of New Zealand general practices. Journal of Primary Health Care 10, 114-124. https://doi.org/10.1071/HC17089</t>
  </si>
  <si>
    <t>[2] Sheridan, N., Love, T., Kenealy, T. et al. Is there equity of patient health outcomes across models of general practice in Aotearoa New Zealand? A national cross-sectional study. Int J Equity Health 22, 79 (2023). https://doi.org/10.1186/s12939-023-01893-8</t>
  </si>
  <si>
    <t>[3] GPNZ 2020, Workforce and resources for future general practice https://gpnz.org.nz/publications/addendum-workforce-resources-for-future-general-practice/</t>
  </si>
  <si>
    <t>Populations</t>
  </si>
  <si>
    <t>dep</t>
  </si>
  <si>
    <t>age_band</t>
  </si>
  <si>
    <t>population</t>
  </si>
  <si>
    <t>percent_high_needs</t>
  </si>
  <si>
    <t>percent_aged_65_plus</t>
  </si>
  <si>
    <t>percent_aged_16_plus</t>
  </si>
  <si>
    <t xml:space="preserve">Sources and assumptions: </t>
  </si>
  <si>
    <t>[4] Estimated using PHO enrolment data (March 2024), Consultations (QEDs) 2023</t>
  </si>
  <si>
    <t>Complexity</t>
  </si>
  <si>
    <t>Consulations</t>
  </si>
  <si>
    <t>Multiplier based on % high dep,65+ pops [4]</t>
  </si>
  <si>
    <t>GP consults per ESU [5]</t>
  </si>
  <si>
    <t>Nurse consults per ESU</t>
  </si>
  <si>
    <t>[5] Health Utilisation Research Alliance (HURA). (2006). Ethnicity, socioeconomic deprivation and consultation rates in New Zealand general practice. Journal of Health Services Research &amp; Policy, 11(3), 141–149. http://www.jstor.org/stable/26750217</t>
  </si>
  <si>
    <t>Urgent and unplanned care demand</t>
  </si>
  <si>
    <t>Consults are for urgent or unplanned care / week</t>
  </si>
  <si>
    <t>Calls for a same day appointment / week</t>
  </si>
  <si>
    <t>Assumptions:</t>
  </si>
  <si>
    <t>Assumed 1/3 of appointments are same day</t>
  </si>
  <si>
    <t>Current % activated 16+ [6]</t>
  </si>
  <si>
    <t>Target</t>
  </si>
  <si>
    <t xml:space="preserve">Source: </t>
  </si>
  <si>
    <t>[6] Tu Ora Compass Health: low = practices with &lt;20% high needs population, moderate 20-50% high needs, high &gt;50% high needs</t>
  </si>
  <si>
    <t>Triage defaults [6]</t>
  </si>
  <si>
    <t>Average time per call (minutes)</t>
  </si>
  <si>
    <t>Charge for phone triage</t>
  </si>
  <si>
    <t>% by GP</t>
  </si>
  <si>
    <t>GP triaged</t>
  </si>
  <si>
    <t>Resolved but turned into a telephone consult</t>
  </si>
  <si>
    <t>GP consult, diagnostics organsied</t>
  </si>
  <si>
    <t>Not resolved, sent to other service</t>
  </si>
  <si>
    <t>Nurse triaged</t>
  </si>
  <si>
    <t>[7]</t>
  </si>
  <si>
    <t>[8]</t>
  </si>
  <si>
    <t>[4]</t>
  </si>
  <si>
    <t>Co-payments (GST inclusive)</t>
  </si>
  <si>
    <t>non-VLCA</t>
  </si>
  <si>
    <t>Consultation splits</t>
  </si>
  <si>
    <t>0 – 13 year olds</t>
  </si>
  <si>
    <t>14 – 17 year olds</t>
  </si>
  <si>
    <t>18 - 27 years</t>
  </si>
  <si>
    <t>28 years+</t>
  </si>
  <si>
    <t>Average GP co-payment</t>
  </si>
  <si>
    <t>Average nurse co-payment</t>
  </si>
  <si>
    <t>Telephone/virtual consults fee</t>
  </si>
  <si>
    <t>Prescription fee</t>
  </si>
  <si>
    <t xml:space="preserve">Sources: </t>
  </si>
  <si>
    <t>[7] Te Whatu Ora, Capitation Rates, https://www.tewhatuora.govt.nz/our-health-system/primary-care-sector/capitation-rates/</t>
  </si>
  <si>
    <t>[8] Sapere, A future Capitation Funding Approach July 2022, pp 45, average co-payments inflation adjusted 2022 Q2 to 2023 Q4</t>
  </si>
  <si>
    <t>[4] PHO enrolment data (March 2024), Consultations (QEDs) 2023 (see calcs below)</t>
  </si>
  <si>
    <t>Expenses (GST exclusive)</t>
  </si>
  <si>
    <t>Salary costs include ACC of 1.5% and Kiwisaver (6% GPs, 3% all other staff)</t>
  </si>
  <si>
    <t>Salaries</t>
  </si>
  <si>
    <t>Per FTE [9]</t>
  </si>
  <si>
    <t>Inflation adjusted</t>
  </si>
  <si>
    <t>Adj for ACC/Kiwisaver</t>
  </si>
  <si>
    <t>Per ESU [6]</t>
  </si>
  <si>
    <t>Rent per ESU</t>
  </si>
  <si>
    <t>All other overhead costs (non-staff) per ESU</t>
  </si>
  <si>
    <t>Total overheads per ESU</t>
  </si>
  <si>
    <t>[9] Sapere, A future Capitation Funding Approach July 2022, pp 14. Median costs per ESU, inflation adjusted 2022 Q2 to 2023 Q4</t>
  </si>
  <si>
    <t>Revenue (GST exclusive)</t>
  </si>
  <si>
    <t>Care plus per person [7]</t>
  </si>
  <si>
    <t>SIA per esu (VLCA)</t>
  </si>
  <si>
    <t>Immunisations as % of capitation [9]</t>
  </si>
  <si>
    <t>Avg capitation rates [4],[7]</t>
  </si>
  <si>
    <t>Base capitation</t>
  </si>
  <si>
    <t>%</t>
  </si>
  <si>
    <t>Non-VLCA</t>
  </si>
  <si>
    <t>Source:</t>
  </si>
  <si>
    <t>[4] Te Whatu Ora, Capitation Rates, https://www.tewhatuora.govt.nz/our-health-system/primary-care-sector/capitation-rates/</t>
  </si>
  <si>
    <t>[7]  Sapere, A future Capitation Funding Approach July 2022</t>
  </si>
  <si>
    <t>[8] Average capitation rates calculated using data from Te Whatu Ora: PHO populations (April 2024) and capitation rates (se below)</t>
  </si>
  <si>
    <t>Assumes SIA funding most likely to be provided to VLCA practices</t>
  </si>
  <si>
    <t>Calculated average capitation rates</t>
  </si>
  <si>
    <t>non_vlca_revenue</t>
  </si>
  <si>
    <t>vlca_revenue</t>
  </si>
  <si>
    <t>sia_revenue</t>
  </si>
  <si>
    <t>per_esu_non_vlca_revenue</t>
  </si>
  <si>
    <t>per_esu_vlca_revenue</t>
  </si>
  <si>
    <t>per_esu_sia_revenue</t>
  </si>
  <si>
    <t>Lead District</t>
  </si>
  <si>
    <t>PHO Name</t>
  </si>
  <si>
    <t>Auckland</t>
  </si>
  <si>
    <t>Auckland PHO Limited</t>
  </si>
  <si>
    <t>Canterbury</t>
  </si>
  <si>
    <t>Christchurch PHO Limited</t>
  </si>
  <si>
    <t>Waitematā</t>
  </si>
  <si>
    <t>Comprehensive Care PHO Limited</t>
  </si>
  <si>
    <t>Northland</t>
  </si>
  <si>
    <t>Comprehensive Care PHO Limited - Northland</t>
  </si>
  <si>
    <t>Capital and Coast</t>
  </si>
  <si>
    <t>Cosine Primary Care Network Trust</t>
  </si>
  <si>
    <t>Counties Manukau</t>
  </si>
  <si>
    <t>East Health Trust</t>
  </si>
  <si>
    <t>Bay of Plenty</t>
  </si>
  <si>
    <t>Eastern Bay Primary Health Alliance</t>
  </si>
  <si>
    <t>Waikato</t>
  </si>
  <si>
    <t>Hauraki PHO</t>
  </si>
  <si>
    <t>Hawkes Bay</t>
  </si>
  <si>
    <t>Health Hawkes Bay Limited</t>
  </si>
  <si>
    <t>Nelson Marlborough</t>
  </si>
  <si>
    <t>Kimi Hauora Wairau (Marlborough PHO Trust)</t>
  </si>
  <si>
    <t>National Hauora Coalition - Counties Manukau</t>
  </si>
  <si>
    <t>National Hauora Coalition - Waikato</t>
  </si>
  <si>
    <t>National Hauora Coalition Limited - Northland</t>
  </si>
  <si>
    <t>Nelson Bays Primary Health</t>
  </si>
  <si>
    <t>Nga Mataapuna Oranga Limited</t>
  </si>
  <si>
    <t>Tairāwhiti</t>
  </si>
  <si>
    <t>Ngati Porou Hauora Charitable Trust</t>
  </si>
  <si>
    <t xml:space="preserve">  </t>
  </si>
  <si>
    <t>Ora Toa PHO Limited</t>
  </si>
  <si>
    <t>Pegasus Health (Charitable) Limited</t>
  </si>
  <si>
    <t>Lakes</t>
  </si>
  <si>
    <t>Pinnacle Midlands Health Network - Lakes</t>
  </si>
  <si>
    <t>Pinnacle Midlands Health Network - Tairawhiti</t>
  </si>
  <si>
    <t>Taranaki</t>
  </si>
  <si>
    <t>Pinnacle Midlands Health Network - Taranaki</t>
  </si>
  <si>
    <t>Pinnacle Midlands Health Network - Waikato</t>
  </si>
  <si>
    <t>Procare Health (PHO) Limited</t>
  </si>
  <si>
    <t>Procare Health (PHO) Limited - Northland</t>
  </si>
  <si>
    <t>Rotorua Area Primary Health Services Limited</t>
  </si>
  <si>
    <t>South Canterbury</t>
  </si>
  <si>
    <t>South Canterbury Primary and Community</t>
  </si>
  <si>
    <t>Taranaki DHB PHO</t>
  </si>
  <si>
    <t>Hutt Valley</t>
  </si>
  <si>
    <t>Te Awakairangi Health Network</t>
  </si>
  <si>
    <t>Te Kaupapa Mahitahi Hauora</t>
  </si>
  <si>
    <t>The Cause Collective</t>
  </si>
  <si>
    <t>MidCentral</t>
  </si>
  <si>
    <t>THINK Hauora</t>
  </si>
  <si>
    <t>Total Healthcare Charitable Trust</t>
  </si>
  <si>
    <t>Tu Ora Compass Health - Capital and Coast</t>
  </si>
  <si>
    <t>Wairarapa</t>
  </si>
  <si>
    <t>Tu Ora Compass Health - Wairarapa</t>
  </si>
  <si>
    <t>Waitaha Primary Health</t>
  </si>
  <si>
    <t>Southern</t>
  </si>
  <si>
    <t>Wellsouth Primary Health Network</t>
  </si>
  <si>
    <t>West Coast</t>
  </si>
  <si>
    <t>West Coast PHO</t>
  </si>
  <si>
    <t>Western Bay of Plenty PHO Limited</t>
  </si>
  <si>
    <t>Whanganui</t>
  </si>
  <si>
    <t>Whanganui Regional Health Network</t>
  </si>
  <si>
    <t>Status</t>
  </si>
  <si>
    <t>Key deliverables include:</t>
  </si>
  <si>
    <t>Done</t>
  </si>
  <si>
    <t>1. Removing all COVID-19 tabs and calculations in the Excel worksheet;</t>
  </si>
  <si>
    <t>2. Simplifying the tool so it is more accessible to those with little or no financial background;</t>
  </si>
  <si>
    <t>3. Adding extended primary care workforce (e.g. nurse practitioner);</t>
  </si>
  <si>
    <t>4. Adding virtual and telehealth solutions;</t>
  </si>
  <si>
    <t>Add ability to alter SQ consultation rates</t>
  </si>
  <si>
    <t>Alter extended hours to add consults and time</t>
  </si>
  <si>
    <t>Add extended care team</t>
  </si>
  <si>
    <t xml:space="preserve">After hours out of scope </t>
  </si>
  <si>
    <t>Practice plus - how do we integrate cost? Cost of directing to PP? - suggest adding an option to add cost of referring to another service in urgent care tab</t>
  </si>
  <si>
    <t>Enable triage current state figures</t>
  </si>
  <si>
    <t>Average revenue per hour. i.e. includes non-contact time etc.</t>
  </si>
  <si>
    <t>Update triage flow diagram</t>
  </si>
  <si>
    <t>Phasing of changes in the results table</t>
  </si>
  <si>
    <t>need to add triage rev and exp summary in results tab</t>
  </si>
  <si>
    <t>Adjust capitation revenue by population demogs</t>
  </si>
  <si>
    <t>Adjust consultation rastes by pop</t>
  </si>
  <si>
    <t>Update triage defaults</t>
  </si>
  <si>
    <t>Update portal defaults</t>
  </si>
  <si>
    <t>Add population inputs</t>
  </si>
  <si>
    <t>Add GP/NP for consultations</t>
  </si>
  <si>
    <t xml:space="preserve">5. Provide training to Collaborative Aotearoa staff and HCH Leads on how to use the tool with </t>
  </si>
  <si>
    <t>General Practices;</t>
  </si>
  <si>
    <t>6. Host a webinar to share the tool to our wider membership (webinar to be recorded).</t>
  </si>
  <si>
    <t xml:space="preserve">The expected outcome is a tool that can be used to demonstrate the financial impact (value) of the </t>
  </si>
  <si>
    <t xml:space="preserve">HCH model over time, recognising the initial investment General Practices would need to make up </t>
  </si>
  <si>
    <t xml:space="preserve">front. </t>
  </si>
  <si>
    <t>Add - Backoffice away from GPs – invoicing, they leave to admin. ACC claiming.</t>
  </si>
  <si>
    <t>Bad debts - sapere survey</t>
  </si>
  <si>
    <t>Questions:</t>
  </si>
  <si>
    <t>How much is Comprehensive Care Team funding?</t>
  </si>
  <si>
    <t>Offsets / oversight from extended team roles</t>
  </si>
  <si>
    <t>Capitation increases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</si>
</sst>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3" formatCode="_-* #,##0.00_-;\-* #,##0.00_-;_-* &quot;-&quot;??_-;_-@_-"/>
    <numFmt numFmtId="164" formatCode="#,##0.00_-;\(#,##0.00\)_-;_-* &quot;-&quot;??_-;_-@_-"/>
    <numFmt numFmtId="165" formatCode="#,##0.00000_-;\(#,##0.00000\)_-;_-* &quot;-&quot;??_-;_-@_-"/>
    <numFmt numFmtId="166" formatCode="_-* #,##0_-;\(#,##0\);_-* &quot;-&quot;??_-;_-@_-"/>
    <numFmt numFmtId="167" formatCode="#,##0_-;[Red]\(#,##0\);_-* &quot;-&quot;??_-;_-@_-"/>
    <numFmt numFmtId="168" formatCode="&quot;$&quot;#,##0.00"/>
    <numFmt numFmtId="169" formatCode="0.0%"/>
    <numFmt numFmtId="170" formatCode="&quot;$&quot;#,##0"/>
    <numFmt numFmtId="171" formatCode="0.0"/>
    <numFmt numFmtId="172" formatCode="#,##0.0"/>
    <numFmt numFmtId="173" formatCode="0.000%"/>
    <numFmt numFmtId="174" formatCode="#,##0_ ;\-#,##0\ "/>
    <numFmt numFmtId="175" formatCode="#,##0_ ;[Red]\-#,##0\ "/>
    <numFmt numFmtId="176" formatCode="0.000"/>
  </numFmts>
  <fonts count="62">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
      <u/>
      <sz val="11"/>
      <color theme="10"/>
      <name val="Calibri"/>
      <family val="2"/>
      <scheme val="minor"/>
    </font>
    <font>
      <sz val="10"/>
      <color theme="1"/>
      <name val="Arial"/>
      <family val="2"/>
    </font>
    <font>
      <sz val="8"/>
      <name val="Calibri"/>
      <family val="2"/>
      <scheme val="minor"/>
    </font>
    <font>
      <i/>
      <sz val="11"/>
      <color theme="1"/>
      <name val="Calibri"/>
      <family val="2"/>
      <scheme val="minor"/>
    </font>
    <font>
      <sz val="10"/>
      <name val="Arial"/>
      <family val="2"/>
    </font>
    <font>
      <u/>
      <sz val="10"/>
      <color theme="10"/>
      <name val="Arial"/>
      <family val="2"/>
    </font>
    <font>
      <sz val="9.5"/>
      <color rgb="FF000000"/>
      <name val="Albany AMT"/>
    </font>
    <font>
      <b/>
      <sz val="9"/>
      <color rgb="FF000000"/>
      <name val="Calibri"/>
      <family val="2"/>
      <scheme val="minor"/>
    </font>
    <font>
      <sz val="9"/>
      <color rgb="FF000000"/>
      <name val="Calibri"/>
      <family val="2"/>
      <scheme val="minor"/>
    </font>
    <font>
      <sz val="16"/>
      <color theme="0"/>
      <name val="Calibri"/>
      <family val="2"/>
      <scheme val="minor"/>
    </font>
    <font>
      <sz val="20"/>
      <color theme="0"/>
      <name val="Calibri"/>
      <family val="2"/>
      <scheme val="minor"/>
    </font>
    <font>
      <b/>
      <sz val="14"/>
      <color theme="2" tint="-0.749992370372631"/>
      <name val="Calibri"/>
      <family val="2"/>
      <scheme val="minor"/>
    </font>
    <font>
      <sz val="12"/>
      <color theme="0"/>
      <name val="Calibri"/>
      <family val="2"/>
      <scheme val="minor"/>
    </font>
    <font>
      <b/>
      <sz val="12"/>
      <color theme="2" tint="-0.749992370372631"/>
      <name val="Calibri"/>
      <family val="2"/>
      <scheme val="minor"/>
    </font>
    <font>
      <i/>
      <sz val="10"/>
      <name val="Calibri"/>
      <family val="2"/>
      <scheme val="minor"/>
    </font>
    <font>
      <sz val="11"/>
      <color rgb="FFFF0000"/>
      <name val="Calibri"/>
      <family val="2"/>
      <scheme val="minor"/>
    </font>
    <font>
      <sz val="11"/>
      <color theme="1"/>
      <name val="Calibri"/>
      <family val="2"/>
    </font>
    <font>
      <b/>
      <u/>
      <sz val="11"/>
      <color theme="1"/>
      <name val="Calibri"/>
      <family val="2"/>
      <scheme val="minor"/>
    </font>
    <font>
      <b/>
      <sz val="12"/>
      <color theme="0"/>
      <name val="Calibri"/>
      <family val="2"/>
      <scheme val="minor"/>
    </font>
    <font>
      <u/>
      <sz val="11"/>
      <color theme="1"/>
      <name val="Calibri"/>
      <family val="2"/>
      <scheme val="minor"/>
    </font>
    <font>
      <b/>
      <sz val="12"/>
      <name val="Calibri"/>
      <family val="2"/>
      <scheme val="minor"/>
    </font>
    <font>
      <sz val="10"/>
      <name val="Calibri"/>
      <family val="2"/>
      <scheme val="minor"/>
    </font>
    <font>
      <i/>
      <sz val="11"/>
      <color theme="0" tint="-0.499984740745262"/>
      <name val="Calibri"/>
      <family val="2"/>
      <scheme val="minor"/>
    </font>
    <font>
      <sz val="11"/>
      <color theme="0" tint="-0.499984740745262"/>
      <name val="Calibri"/>
      <family val="2"/>
      <scheme val="minor"/>
    </font>
    <font>
      <b/>
      <sz val="11"/>
      <color theme="0"/>
      <name val="Calibri"/>
      <family val="2"/>
      <scheme val="minor"/>
    </font>
    <font>
      <b/>
      <sz val="14"/>
      <color theme="0"/>
      <name val="Calibri"/>
      <family val="2"/>
      <scheme val="minor"/>
    </font>
    <font>
      <sz val="11"/>
      <color theme="0"/>
      <name val="Calibri"/>
      <family val="2"/>
      <scheme val="minor"/>
    </font>
    <font>
      <sz val="14"/>
      <name val="Calibri"/>
      <family val="2"/>
      <scheme val="minor"/>
    </font>
    <font>
      <b/>
      <sz val="11"/>
      <name val="Calibri"/>
      <family val="2"/>
      <scheme val="minor"/>
    </font>
    <font>
      <i/>
      <sz val="11"/>
      <name val="Calibri"/>
      <family val="2"/>
      <scheme val="minor"/>
    </font>
    <font>
      <sz val="11"/>
      <color theme="1" tint="0.34998626667073579"/>
      <name val="Calibri"/>
      <family val="2"/>
      <scheme val="minor"/>
    </font>
    <font>
      <u/>
      <sz val="11"/>
      <name val="Calibri"/>
      <family val="2"/>
      <scheme val="minor"/>
    </font>
    <font>
      <b/>
      <sz val="20"/>
      <color theme="0"/>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b/>
      <sz val="12"/>
      <color theme="0" tint="-0.499984740745262"/>
      <name val="Calibri"/>
      <family val="2"/>
      <scheme val="minor"/>
    </font>
    <font>
      <b/>
      <sz val="11"/>
      <color theme="0" tint="-0.499984740745262"/>
      <name val="Calibri"/>
      <family val="2"/>
      <scheme val="minor"/>
    </font>
    <font>
      <b/>
      <sz val="14"/>
      <name val="Calibri"/>
      <family val="2"/>
      <scheme val="minor"/>
    </font>
    <font>
      <sz val="11"/>
      <color theme="1" tint="0.499984740745262"/>
      <name val="Calibri"/>
      <family val="2"/>
      <scheme val="minor"/>
    </font>
    <font>
      <sz val="11"/>
      <color theme="1"/>
      <name val="Aptos"/>
      <family val="2"/>
    </font>
    <font>
      <sz val="11"/>
      <color rgb="FF000000"/>
      <name val="Calibri"/>
      <family val="2"/>
    </font>
    <font>
      <b/>
      <sz val="11"/>
      <color theme="2" tint="-0.749992370372631"/>
      <name val="Calibri"/>
      <family val="2"/>
      <scheme val="minor"/>
    </font>
    <font>
      <sz val="10"/>
      <color rgb="FF000000"/>
      <name val="Calibri"/>
      <family val="2"/>
    </font>
    <font>
      <b/>
      <sz val="10"/>
      <color theme="1"/>
      <name val="Calibri"/>
      <family val="2"/>
      <scheme val="minor"/>
    </font>
    <font>
      <sz val="11"/>
      <color theme="2" tint="-0.749992370372631"/>
      <name val="Calibri"/>
      <family val="2"/>
      <scheme val="minor"/>
    </font>
    <font>
      <sz val="10"/>
      <color theme="0"/>
      <name val="Calibri"/>
      <family val="2"/>
      <scheme val="minor"/>
    </font>
    <font>
      <b/>
      <sz val="10"/>
      <color theme="0"/>
      <name val="Calibri"/>
      <family val="2"/>
      <scheme val="minor"/>
    </font>
    <font>
      <b/>
      <sz val="10"/>
      <name val="Calibri"/>
      <family val="2"/>
      <scheme val="minor"/>
    </font>
    <font>
      <u/>
      <sz val="10"/>
      <color theme="1"/>
      <name val="Calibri"/>
      <family val="2"/>
      <scheme val="minor"/>
    </font>
    <font>
      <b/>
      <sz val="12"/>
      <color theme="1" tint="0.499984740745262"/>
      <name val="Calibri"/>
      <family val="2"/>
      <scheme val="minor"/>
    </font>
    <font>
      <sz val="10"/>
      <color rgb="FF000000"/>
      <name val="Calibri"/>
      <family val="2"/>
      <scheme val="minor"/>
    </font>
    <font>
      <i/>
      <sz val="9"/>
      <color theme="1"/>
      <name val="Calibri"/>
      <family val="2"/>
      <scheme val="minor"/>
    </font>
    <font>
      <i/>
      <sz val="11"/>
      <color rgb="FF522668"/>
      <name val="Calibri"/>
      <family val="2"/>
      <scheme val="minor"/>
    </font>
    <font>
      <i/>
      <sz val="11"/>
      <color theme="1" tint="0.34998626667073579"/>
      <name val="Calibri"/>
      <family val="2"/>
      <scheme val="minor"/>
    </font>
    <font>
      <b/>
      <i/>
      <sz val="11"/>
      <color theme="1" tint="0.34998626667073579"/>
      <name val="Calibri"/>
      <family val="2"/>
      <scheme val="minor"/>
    </font>
    <font>
      <b/>
      <sz val="11"/>
      <color theme="1" tint="0.34998626667073579"/>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9364AC"/>
        <bgColor indexed="64"/>
      </patternFill>
    </fill>
    <fill>
      <patternFill patternType="solid">
        <fgColor rgb="FF522668"/>
        <bgColor indexed="64"/>
      </patternFill>
    </fill>
    <fill>
      <patternFill patternType="solid">
        <fgColor rgb="FF096BB9"/>
        <bgColor indexed="64"/>
      </patternFill>
    </fill>
    <fill>
      <patternFill patternType="solid">
        <fgColor rgb="FFF05D2B"/>
        <bgColor indexed="64"/>
      </patternFill>
    </fill>
    <fill>
      <patternFill patternType="solid">
        <fgColor rgb="FF70B32F"/>
        <bgColor indexed="64"/>
      </patternFill>
    </fill>
    <fill>
      <patternFill patternType="solid">
        <fgColor theme="0" tint="-4.9989318521683403E-2"/>
        <bgColor indexed="64"/>
      </patternFill>
    </fill>
    <fill>
      <patternFill patternType="solid">
        <fgColor rgb="FF808080"/>
        <bgColor indexed="64"/>
      </patternFill>
    </fill>
    <fill>
      <patternFill patternType="solid">
        <fgColor rgb="FFFFFF00"/>
        <bgColor indexed="64"/>
      </patternFill>
    </fill>
  </fills>
  <borders count="20">
    <border>
      <left/>
      <right/>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medium">
        <color rgb="FF522668"/>
      </bottom>
      <diagonal/>
    </border>
    <border>
      <left/>
      <right/>
      <top/>
      <bottom style="thin">
        <color rgb="FF522668"/>
      </bottom>
      <diagonal/>
    </border>
    <border>
      <left style="thin">
        <color rgb="FF522668"/>
      </left>
      <right/>
      <top/>
      <bottom style="thin">
        <color rgb="FF522668"/>
      </bottom>
      <diagonal/>
    </border>
    <border>
      <left/>
      <right style="thin">
        <color rgb="FF522668"/>
      </right>
      <top/>
      <bottom style="thin">
        <color rgb="FF522668"/>
      </bottom>
      <diagonal/>
    </border>
    <border>
      <left style="thin">
        <color rgb="FF522668"/>
      </left>
      <right/>
      <top/>
      <bottom/>
      <diagonal/>
    </border>
    <border>
      <left/>
      <right style="thin">
        <color rgb="FF522668"/>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top style="thin">
        <color theme="1" tint="0.499984740745262"/>
      </top>
      <bottom style="thin">
        <color theme="0" tint="-0.499984740745262"/>
      </bottom>
      <diagonal/>
    </border>
    <border>
      <left/>
      <right style="thin">
        <color theme="0" tint="-0.499984740745262"/>
      </right>
      <top/>
      <bottom style="thin">
        <color theme="0" tint="-0.499984740745262"/>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9" fillId="0" borderId="0"/>
    <xf numFmtId="0" fontId="10" fillId="0" borderId="0" applyNumberFormat="0" applyFill="0" applyBorder="0" applyAlignment="0" applyProtection="0"/>
    <xf numFmtId="0" fontId="11" fillId="0" borderId="0"/>
    <xf numFmtId="0" fontId="4" fillId="5" borderId="0"/>
  </cellStyleXfs>
  <cellXfs count="312">
    <xf numFmtId="0" fontId="0" fillId="0" borderId="0" xfId="0"/>
    <xf numFmtId="0" fontId="0" fillId="0" borderId="0" xfId="0" applyAlignment="1">
      <alignment horizontal="left" vertical="center"/>
    </xf>
    <xf numFmtId="43" fontId="0" fillId="0" borderId="0" xfId="1" applyFont="1" applyFill="1" applyBorder="1" applyAlignment="1">
      <alignment horizontal="left" vertical="center"/>
    </xf>
    <xf numFmtId="9" fontId="0" fillId="0" borderId="0" xfId="0" applyNumberFormat="1"/>
    <xf numFmtId="0" fontId="4" fillId="0" borderId="0" xfId="0" applyFont="1"/>
    <xf numFmtId="0" fontId="4" fillId="3" borderId="0" xfId="0" applyFont="1" applyFill="1"/>
    <xf numFmtId="0" fontId="4" fillId="4" borderId="0" xfId="0" applyFont="1" applyFill="1"/>
    <xf numFmtId="0" fontId="4" fillId="5" borderId="0" xfId="0" applyFont="1" applyFill="1"/>
    <xf numFmtId="0" fontId="4" fillId="6" borderId="0" xfId="0" applyFont="1" applyFill="1"/>
    <xf numFmtId="0" fontId="4" fillId="7" borderId="0" xfId="0" applyFont="1" applyFill="1"/>
    <xf numFmtId="0" fontId="12" fillId="0" borderId="0" xfId="0" applyFont="1"/>
    <xf numFmtId="0" fontId="13" fillId="0" borderId="0" xfId="0" applyFont="1"/>
    <xf numFmtId="0" fontId="14" fillId="4" borderId="0" xfId="0" applyFont="1" applyFill="1" applyAlignment="1">
      <alignment horizontal="left" vertical="center"/>
    </xf>
    <xf numFmtId="0" fontId="4" fillId="3" borderId="0" xfId="0" applyFont="1" applyFill="1" applyAlignment="1">
      <alignment horizontal="left" vertical="center"/>
    </xf>
    <xf numFmtId="0" fontId="15" fillId="4" borderId="0" xfId="0" applyFont="1" applyFill="1" applyAlignment="1">
      <alignment horizontal="left" vertical="center"/>
    </xf>
    <xf numFmtId="0" fontId="16" fillId="0" borderId="0" xfId="0" applyFont="1"/>
    <xf numFmtId="0" fontId="3" fillId="0" borderId="0" xfId="0" applyFont="1"/>
    <xf numFmtId="0" fontId="17" fillId="3" borderId="0" xfId="0" applyFont="1" applyFill="1" applyAlignment="1">
      <alignment horizontal="left" vertical="center"/>
    </xf>
    <xf numFmtId="0" fontId="18" fillId="0" borderId="0" xfId="0" applyFont="1"/>
    <xf numFmtId="8" fontId="0" fillId="0" borderId="0" xfId="0" applyNumberFormat="1"/>
    <xf numFmtId="0" fontId="19" fillId="0" borderId="0" xfId="0" applyFont="1"/>
    <xf numFmtId="0" fontId="0" fillId="0" borderId="0" xfId="0" applyAlignment="1">
      <alignment horizontal="centerContinuous"/>
    </xf>
    <xf numFmtId="0" fontId="0" fillId="0" borderId="0" xfId="0" applyAlignment="1">
      <alignment horizontal="left" indent="2"/>
    </xf>
    <xf numFmtId="0" fontId="0" fillId="0" borderId="0" xfId="0" applyAlignment="1">
      <alignment horizontal="left" indent="4"/>
    </xf>
    <xf numFmtId="0" fontId="0" fillId="0" borderId="0" xfId="0" applyAlignment="1">
      <alignment horizontal="center"/>
    </xf>
    <xf numFmtId="3" fontId="0" fillId="0" borderId="0" xfId="0" applyNumberFormat="1"/>
    <xf numFmtId="43" fontId="4" fillId="0" borderId="0" xfId="1" applyFont="1" applyFill="1" applyBorder="1" applyAlignment="1"/>
    <xf numFmtId="0" fontId="20" fillId="0" borderId="0" xfId="0" applyFont="1"/>
    <xf numFmtId="0" fontId="20" fillId="0" borderId="0" xfId="0" applyFont="1" applyAlignment="1">
      <alignment horizontal="centerContinuous"/>
    </xf>
    <xf numFmtId="0" fontId="22" fillId="0" borderId="0" xfId="0" applyFont="1"/>
    <xf numFmtId="1" fontId="0" fillId="0" borderId="0" xfId="0" applyNumberFormat="1"/>
    <xf numFmtId="168" fontId="0" fillId="0" borderId="0" xfId="0" applyNumberFormat="1"/>
    <xf numFmtId="9" fontId="0" fillId="0" borderId="0" xfId="2" applyFont="1"/>
    <xf numFmtId="3" fontId="0" fillId="8" borderId="2" xfId="0" applyNumberFormat="1" applyFill="1" applyBorder="1"/>
    <xf numFmtId="0" fontId="0" fillId="8" borderId="2" xfId="0" applyFill="1" applyBorder="1" applyAlignment="1" applyProtection="1">
      <alignment vertical="center"/>
      <protection locked="0"/>
    </xf>
    <xf numFmtId="9" fontId="0" fillId="8" borderId="2" xfId="2" applyFont="1" applyFill="1" applyBorder="1" applyAlignment="1" applyProtection="1">
      <alignment vertical="center"/>
      <protection locked="0"/>
    </xf>
    <xf numFmtId="9" fontId="20" fillId="0" borderId="0" xfId="0" applyNumberFormat="1" applyFont="1"/>
    <xf numFmtId="9" fontId="20" fillId="0" borderId="0" xfId="2" applyFont="1"/>
    <xf numFmtId="170" fontId="0" fillId="0" borderId="0" xfId="0" applyNumberFormat="1"/>
    <xf numFmtId="0" fontId="24" fillId="0" borderId="0" xfId="0" applyFont="1"/>
    <xf numFmtId="0" fontId="0" fillId="8" borderId="2" xfId="0" applyFill="1" applyBorder="1"/>
    <xf numFmtId="170" fontId="0" fillId="8" borderId="2" xfId="0" applyNumberFormat="1" applyFill="1" applyBorder="1"/>
    <xf numFmtId="0" fontId="23" fillId="0" borderId="0" xfId="0" applyFont="1"/>
    <xf numFmtId="0" fontId="25" fillId="0" borderId="0" xfId="0" applyFont="1"/>
    <xf numFmtId="6" fontId="0" fillId="0" borderId="0" xfId="0" applyNumberFormat="1"/>
    <xf numFmtId="0" fontId="8" fillId="0" borderId="0" xfId="0" applyFont="1"/>
    <xf numFmtId="0" fontId="27" fillId="0" borderId="0" xfId="0" applyFont="1"/>
    <xf numFmtId="0" fontId="28" fillId="0" borderId="0" xfId="0" applyFont="1"/>
    <xf numFmtId="1" fontId="28" fillId="0" borderId="0" xfId="0" applyNumberFormat="1" applyFont="1"/>
    <xf numFmtId="8" fontId="3" fillId="8" borderId="2" xfId="0" applyNumberFormat="1" applyFont="1" applyFill="1" applyBorder="1"/>
    <xf numFmtId="166" fontId="0" fillId="0" borderId="0" xfId="0" applyNumberFormat="1" applyAlignment="1">
      <alignment vertical="center"/>
    </xf>
    <xf numFmtId="0" fontId="0" fillId="0" borderId="0" xfId="0" applyAlignment="1">
      <alignment wrapText="1"/>
    </xf>
    <xf numFmtId="0" fontId="4" fillId="0" borderId="0" xfId="1" applyNumberFormat="1" applyFont="1" applyFill="1" applyBorder="1" applyAlignment="1">
      <alignment horizontal="left" vertical="center"/>
    </xf>
    <xf numFmtId="0" fontId="4" fillId="0" borderId="0" xfId="1" applyNumberFormat="1" applyFont="1" applyFill="1" applyBorder="1" applyAlignment="1">
      <alignment horizontal="center" vertical="center"/>
    </xf>
    <xf numFmtId="0" fontId="0" fillId="0" borderId="0" xfId="0" applyAlignment="1">
      <alignment vertical="top"/>
    </xf>
    <xf numFmtId="2" fontId="0" fillId="0" borderId="0" xfId="0" applyNumberFormat="1"/>
    <xf numFmtId="37" fontId="0" fillId="0" borderId="0" xfId="1" applyNumberFormat="1" applyFont="1" applyFill="1" applyBorder="1" applyAlignment="1">
      <alignment vertical="center"/>
    </xf>
    <xf numFmtId="0" fontId="2" fillId="0" borderId="0" xfId="0" applyFont="1"/>
    <xf numFmtId="3" fontId="2" fillId="0" borderId="0" xfId="0" applyNumberFormat="1" applyFont="1"/>
    <xf numFmtId="170" fontId="2" fillId="0" borderId="0" xfId="0" applyNumberFormat="1" applyFont="1"/>
    <xf numFmtId="0" fontId="32" fillId="0" borderId="0" xfId="0" applyFont="1"/>
    <xf numFmtId="0" fontId="33" fillId="0" borderId="0" xfId="0" applyFont="1"/>
    <xf numFmtId="0" fontId="34" fillId="0" borderId="0" xfId="0" applyFont="1"/>
    <xf numFmtId="171" fontId="0" fillId="0" borderId="0" xfId="0" applyNumberFormat="1"/>
    <xf numFmtId="0" fontId="35" fillId="0" borderId="0" xfId="0" applyFont="1"/>
    <xf numFmtId="1" fontId="35" fillId="0" borderId="0" xfId="0" applyNumberFormat="1" applyFont="1"/>
    <xf numFmtId="9" fontId="35" fillId="0" borderId="0" xfId="0" applyNumberFormat="1" applyFont="1"/>
    <xf numFmtId="9" fontId="0" fillId="8" borderId="2" xfId="0" applyNumberFormat="1" applyFill="1" applyBorder="1"/>
    <xf numFmtId="9" fontId="0" fillId="8" borderId="2" xfId="2" applyFont="1" applyFill="1" applyBorder="1"/>
    <xf numFmtId="8" fontId="0" fillId="8" borderId="2" xfId="0" applyNumberFormat="1" applyFill="1" applyBorder="1"/>
    <xf numFmtId="6" fontId="3" fillId="0" borderId="0" xfId="0" applyNumberFormat="1" applyFont="1"/>
    <xf numFmtId="8" fontId="0" fillId="0" borderId="0" xfId="2" applyNumberFormat="1" applyFont="1"/>
    <xf numFmtId="170" fontId="3" fillId="0" borderId="0" xfId="0" applyNumberFormat="1" applyFont="1"/>
    <xf numFmtId="170" fontId="33" fillId="0" borderId="0" xfId="0" applyNumberFormat="1" applyFont="1"/>
    <xf numFmtId="2" fontId="2" fillId="0" borderId="0" xfId="0" applyNumberFormat="1" applyFont="1"/>
    <xf numFmtId="0" fontId="3" fillId="2" borderId="0" xfId="0" applyFont="1" applyFill="1"/>
    <xf numFmtId="0" fontId="33" fillId="2" borderId="0" xfId="0" applyFont="1" applyFill="1"/>
    <xf numFmtId="3" fontId="33" fillId="0" borderId="0" xfId="0" applyNumberFormat="1" applyFont="1"/>
    <xf numFmtId="0" fontId="36" fillId="0" borderId="0" xfId="0" applyFont="1"/>
    <xf numFmtId="0" fontId="37" fillId="4" borderId="0" xfId="0" applyFont="1" applyFill="1" applyAlignment="1">
      <alignment horizontal="left" vertical="center"/>
    </xf>
    <xf numFmtId="171" fontId="28" fillId="0" borderId="0" xfId="0" applyNumberFormat="1" applyFont="1"/>
    <xf numFmtId="1" fontId="0" fillId="8" borderId="2" xfId="0" applyNumberFormat="1" applyFill="1" applyBorder="1"/>
    <xf numFmtId="0" fontId="0" fillId="8" borderId="6" xfId="0" applyFill="1" applyBorder="1"/>
    <xf numFmtId="0" fontId="0" fillId="8" borderId="0" xfId="0" applyFill="1"/>
    <xf numFmtId="0" fontId="30" fillId="4" borderId="0" xfId="0" applyFont="1" applyFill="1" applyAlignment="1">
      <alignment horizontal="left" vertical="center"/>
    </xf>
    <xf numFmtId="0" fontId="38" fillId="0" borderId="0" xfId="0" applyFont="1"/>
    <xf numFmtId="2" fontId="0" fillId="8" borderId="2" xfId="0" applyNumberFormat="1" applyFill="1" applyBorder="1"/>
    <xf numFmtId="0" fontId="5" fillId="0" borderId="0" xfId="3"/>
    <xf numFmtId="170" fontId="39" fillId="0" borderId="0" xfId="0" applyNumberFormat="1" applyFont="1"/>
    <xf numFmtId="0" fontId="30" fillId="9" borderId="0" xfId="0" applyFont="1" applyFill="1"/>
    <xf numFmtId="0" fontId="29" fillId="9" borderId="0" xfId="0" applyFont="1" applyFill="1"/>
    <xf numFmtId="0" fontId="29" fillId="9" borderId="0" xfId="0" applyFont="1" applyFill="1" applyAlignment="1">
      <alignment horizontal="centerContinuous"/>
    </xf>
    <xf numFmtId="0" fontId="29" fillId="9" borderId="0" xfId="0" applyFont="1" applyFill="1" applyAlignment="1">
      <alignment wrapText="1"/>
    </xf>
    <xf numFmtId="0" fontId="29" fillId="9" borderId="0" xfId="0" applyFont="1" applyFill="1" applyAlignment="1">
      <alignment horizontal="center"/>
    </xf>
    <xf numFmtId="9" fontId="39" fillId="0" borderId="0" xfId="2" applyFont="1"/>
    <xf numFmtId="169" fontId="0" fillId="0" borderId="0" xfId="2" applyNumberFormat="1" applyFont="1"/>
    <xf numFmtId="0" fontId="0" fillId="10" borderId="0" xfId="0" applyFill="1"/>
    <xf numFmtId="3" fontId="39" fillId="0" borderId="0" xfId="0" applyNumberFormat="1" applyFont="1"/>
    <xf numFmtId="172" fontId="39" fillId="0" borderId="0" xfId="0" applyNumberFormat="1" applyFont="1"/>
    <xf numFmtId="171" fontId="39" fillId="8" borderId="2" xfId="2" applyNumberFormat="1" applyFont="1" applyFill="1" applyBorder="1"/>
    <xf numFmtId="172" fontId="0" fillId="0" borderId="0" xfId="0" applyNumberFormat="1"/>
    <xf numFmtId="0" fontId="0" fillId="0" borderId="0" xfId="0" applyAlignment="1">
      <alignment horizontal="left"/>
    </xf>
    <xf numFmtId="0" fontId="0" fillId="0" borderId="0" xfId="2" applyNumberFormat="1" applyFont="1"/>
    <xf numFmtId="0" fontId="3" fillId="8" borderId="2" xfId="0" applyFont="1" applyFill="1" applyBorder="1"/>
    <xf numFmtId="0" fontId="3" fillId="0" borderId="0" xfId="0" applyFont="1" applyAlignment="1">
      <alignment horizontal="right"/>
    </xf>
    <xf numFmtId="0" fontId="41" fillId="0" borderId="0" xfId="0" applyFont="1"/>
    <xf numFmtId="3" fontId="28" fillId="0" borderId="0" xfId="0" applyNumberFormat="1" applyFont="1"/>
    <xf numFmtId="8" fontId="28" fillId="0" borderId="0" xfId="0" applyNumberFormat="1" applyFont="1"/>
    <xf numFmtId="6" fontId="28" fillId="0" borderId="0" xfId="0" applyNumberFormat="1" applyFont="1"/>
    <xf numFmtId="170" fontId="28" fillId="0" borderId="0" xfId="0" applyNumberFormat="1" applyFont="1"/>
    <xf numFmtId="9" fontId="28" fillId="0" borderId="0" xfId="0" applyNumberFormat="1" applyFont="1"/>
    <xf numFmtId="9" fontId="28" fillId="0" borderId="0" xfId="2" applyFont="1"/>
    <xf numFmtId="0" fontId="28" fillId="0" borderId="0" xfId="0" applyFont="1" applyAlignment="1">
      <alignment wrapText="1"/>
    </xf>
    <xf numFmtId="170" fontId="42" fillId="0" borderId="0" xfId="0" applyNumberFormat="1" applyFont="1"/>
    <xf numFmtId="173" fontId="0" fillId="0" borderId="0" xfId="2" applyNumberFormat="1" applyFont="1"/>
    <xf numFmtId="0" fontId="42" fillId="0" borderId="0" xfId="0" applyFont="1"/>
    <xf numFmtId="169" fontId="2" fillId="0" borderId="0" xfId="2" applyNumberFormat="1" applyFont="1"/>
    <xf numFmtId="169" fontId="39" fillId="0" borderId="0" xfId="2" applyNumberFormat="1" applyFont="1"/>
    <xf numFmtId="0" fontId="40" fillId="0" borderId="7" xfId="0" applyFont="1" applyBorder="1"/>
    <xf numFmtId="0" fontId="0" fillId="0" borderId="7" xfId="0" applyBorder="1"/>
    <xf numFmtId="9" fontId="0" fillId="0" borderId="0" xfId="2" applyFont="1" applyFill="1"/>
    <xf numFmtId="168" fontId="35" fillId="0" borderId="0" xfId="0" applyNumberFormat="1" applyFont="1"/>
    <xf numFmtId="2" fontId="35" fillId="0" borderId="0" xfId="0" applyNumberFormat="1" applyFont="1"/>
    <xf numFmtId="0" fontId="44" fillId="0" borderId="0" xfId="0" applyFont="1"/>
    <xf numFmtId="0" fontId="28" fillId="0" borderId="0" xfId="0" applyFont="1" applyAlignment="1">
      <alignment horizontal="left" indent="2"/>
    </xf>
    <xf numFmtId="9" fontId="28" fillId="0" borderId="0" xfId="2" applyFont="1" applyFill="1"/>
    <xf numFmtId="0" fontId="17" fillId="0" borderId="0" xfId="0" applyFont="1" applyAlignment="1">
      <alignment horizontal="left" vertical="center"/>
    </xf>
    <xf numFmtId="9" fontId="0" fillId="0" borderId="0" xfId="1" applyNumberFormat="1" applyFont="1" applyFill="1" applyBorder="1" applyAlignment="1">
      <alignment vertical="center"/>
    </xf>
    <xf numFmtId="0" fontId="43" fillId="0" borderId="7" xfId="0" applyFont="1" applyBorder="1" applyAlignment="1">
      <alignment horizontal="left" vertical="center"/>
    </xf>
    <xf numFmtId="37" fontId="0" fillId="0" borderId="0" xfId="0" applyNumberFormat="1"/>
    <xf numFmtId="0" fontId="0" fillId="0" borderId="8" xfId="0" applyBorder="1"/>
    <xf numFmtId="3" fontId="0" fillId="0" borderId="8" xfId="0" applyNumberFormat="1" applyBorder="1"/>
    <xf numFmtId="3" fontId="0" fillId="0" borderId="11" xfId="0" applyNumberFormat="1" applyBorder="1"/>
    <xf numFmtId="3" fontId="2" fillId="0" borderId="12" xfId="0" applyNumberFormat="1" applyFont="1" applyBorder="1"/>
    <xf numFmtId="3" fontId="33" fillId="0" borderId="11" xfId="0" applyNumberFormat="1" applyFont="1" applyBorder="1"/>
    <xf numFmtId="3" fontId="33" fillId="0" borderId="12" xfId="0" applyNumberFormat="1" applyFont="1" applyBorder="1"/>
    <xf numFmtId="170" fontId="3" fillId="0" borderId="8" xfId="0" applyNumberFormat="1" applyFont="1" applyBorder="1"/>
    <xf numFmtId="170" fontId="33" fillId="0" borderId="8" xfId="0" applyNumberFormat="1" applyFont="1" applyBorder="1"/>
    <xf numFmtId="3" fontId="0" fillId="0" borderId="9" xfId="0" applyNumberFormat="1" applyBorder="1"/>
    <xf numFmtId="3" fontId="2" fillId="0" borderId="10" xfId="0" applyNumberFormat="1" applyFont="1" applyBorder="1"/>
    <xf numFmtId="3" fontId="25" fillId="0" borderId="0" xfId="0" applyNumberFormat="1" applyFont="1"/>
    <xf numFmtId="3" fontId="25" fillId="0" borderId="11" xfId="0" applyNumberFormat="1" applyFont="1" applyBorder="1"/>
    <xf numFmtId="0" fontId="2" fillId="0" borderId="12" xfId="0" applyFont="1" applyBorder="1"/>
    <xf numFmtId="3" fontId="2" fillId="0" borderId="8" xfId="0" applyNumberFormat="1" applyFont="1" applyBorder="1"/>
    <xf numFmtId="9" fontId="0" fillId="0" borderId="0" xfId="2" applyFont="1" applyFill="1" applyBorder="1" applyAlignment="1" applyProtection="1">
      <alignment vertical="center"/>
      <protection locked="0"/>
    </xf>
    <xf numFmtId="9" fontId="0" fillId="8" borderId="2" xfId="0" applyNumberFormat="1" applyFill="1" applyBorder="1" applyAlignment="1" applyProtection="1">
      <alignment vertical="center"/>
      <protection locked="0"/>
    </xf>
    <xf numFmtId="9" fontId="44" fillId="0" borderId="0" xfId="2" applyFont="1" applyFill="1"/>
    <xf numFmtId="0" fontId="5" fillId="0" borderId="0" xfId="3" applyFill="1"/>
    <xf numFmtId="0" fontId="35" fillId="0" borderId="0" xfId="0" applyFont="1" applyAlignment="1">
      <alignment horizontal="right"/>
    </xf>
    <xf numFmtId="6" fontId="44" fillId="0" borderId="0" xfId="0" applyNumberFormat="1" applyFont="1"/>
    <xf numFmtId="0" fontId="5" fillId="0" borderId="0" xfId="3" applyAlignment="1">
      <alignment horizontal="left" indent="1"/>
    </xf>
    <xf numFmtId="9" fontId="44" fillId="0" borderId="0" xfId="0" applyNumberFormat="1" applyFont="1"/>
    <xf numFmtId="2" fontId="3" fillId="0" borderId="0" xfId="0" applyNumberFormat="1" applyFont="1"/>
    <xf numFmtId="1" fontId="3" fillId="0" borderId="0" xfId="0" applyNumberFormat="1" applyFont="1"/>
    <xf numFmtId="0" fontId="45" fillId="0" borderId="0" xfId="0" applyFont="1"/>
    <xf numFmtId="0" fontId="45" fillId="0" borderId="0" xfId="0" applyFont="1" applyAlignment="1">
      <alignment vertical="center"/>
    </xf>
    <xf numFmtId="170" fontId="44" fillId="0" borderId="0" xfId="0" applyNumberFormat="1" applyFont="1"/>
    <xf numFmtId="0" fontId="44" fillId="0" borderId="0" xfId="2" applyNumberFormat="1" applyFont="1" applyAlignment="1">
      <alignment vertical="center"/>
    </xf>
    <xf numFmtId="0" fontId="0" fillId="0" borderId="0" xfId="0" applyAlignment="1" applyProtection="1">
      <alignment vertical="center"/>
      <protection locked="0"/>
    </xf>
    <xf numFmtId="170" fontId="0" fillId="8" borderId="2" xfId="0" applyNumberFormat="1" applyFill="1" applyBorder="1" applyAlignment="1" applyProtection="1">
      <alignment vertical="center"/>
      <protection locked="0"/>
    </xf>
    <xf numFmtId="170" fontId="44" fillId="0" borderId="0" xfId="2" applyNumberFormat="1" applyFont="1" applyAlignment="1">
      <alignment vertical="center"/>
    </xf>
    <xf numFmtId="170" fontId="0" fillId="0" borderId="0" xfId="2" applyNumberFormat="1" applyFont="1"/>
    <xf numFmtId="0" fontId="44" fillId="0" borderId="0" xfId="0" applyFont="1" applyAlignment="1" applyProtection="1">
      <alignment vertical="center"/>
      <protection locked="0"/>
    </xf>
    <xf numFmtId="170" fontId="4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70" fontId="3" fillId="0" borderId="0" xfId="0" applyNumberFormat="1" applyFont="1" applyAlignment="1" applyProtection="1">
      <alignment vertical="center"/>
      <protection locked="0"/>
    </xf>
    <xf numFmtId="170" fontId="3" fillId="0" borderId="0" xfId="2" applyNumberFormat="1" applyFont="1" applyAlignment="1">
      <alignment vertical="center"/>
    </xf>
    <xf numFmtId="0" fontId="3" fillId="8" borderId="2" xfId="0" applyFont="1" applyFill="1" applyBorder="1" applyAlignment="1" applyProtection="1">
      <alignment vertical="center"/>
      <protection locked="0"/>
    </xf>
    <xf numFmtId="170" fontId="3" fillId="8" borderId="2" xfId="0" applyNumberFormat="1" applyFont="1" applyFill="1" applyBorder="1" applyAlignment="1" applyProtection="1">
      <alignment vertical="center"/>
      <protection locked="0"/>
    </xf>
    <xf numFmtId="170" fontId="33" fillId="0" borderId="0" xfId="0" applyNumberFormat="1" applyFont="1" applyAlignment="1" applyProtection="1">
      <alignment vertical="center"/>
      <protection locked="0"/>
    </xf>
    <xf numFmtId="1" fontId="2" fillId="0" borderId="0" xfId="0" applyNumberFormat="1" applyFont="1"/>
    <xf numFmtId="0" fontId="44" fillId="0" borderId="0" xfId="2" applyNumberFormat="1" applyFont="1" applyFill="1"/>
    <xf numFmtId="167" fontId="0" fillId="0" borderId="0" xfId="0" applyNumberFormat="1" applyAlignment="1">
      <alignment horizontal="center" vertical="center"/>
    </xf>
    <xf numFmtId="0" fontId="0" fillId="0" borderId="1" xfId="0" applyBorder="1" applyAlignment="1">
      <alignment vertical="center"/>
    </xf>
    <xf numFmtId="0" fontId="0" fillId="0" borderId="0" xfId="0" applyAlignment="1">
      <alignment vertical="center"/>
    </xf>
    <xf numFmtId="165" fontId="0" fillId="0" borderId="0" xfId="0" applyNumberFormat="1" applyAlignment="1">
      <alignment vertical="center"/>
    </xf>
    <xf numFmtId="164" fontId="0" fillId="0" borderId="0" xfId="0" applyNumberFormat="1" applyAlignment="1">
      <alignment vertical="center"/>
    </xf>
    <xf numFmtId="174" fontId="0" fillId="0" borderId="0" xfId="0" applyNumberFormat="1"/>
    <xf numFmtId="8" fontId="44" fillId="0" borderId="0" xfId="0" applyNumberFormat="1" applyFont="1"/>
    <xf numFmtId="2" fontId="0" fillId="0" borderId="8" xfId="0" applyNumberFormat="1" applyBorder="1"/>
    <xf numFmtId="0" fontId="47" fillId="0" borderId="0" xfId="0" applyFont="1"/>
    <xf numFmtId="0" fontId="40" fillId="0" borderId="0" xfId="0" applyFont="1"/>
    <xf numFmtId="0" fontId="43" fillId="0" borderId="0" xfId="0" applyFont="1" applyAlignment="1">
      <alignment horizontal="left" vertical="center"/>
    </xf>
    <xf numFmtId="0" fontId="43" fillId="0" borderId="0" xfId="0" applyFont="1"/>
    <xf numFmtId="2" fontId="44" fillId="0" borderId="0" xfId="0" applyNumberFormat="1" applyFont="1"/>
    <xf numFmtId="170" fontId="0" fillId="8" borderId="5" xfId="0" applyNumberFormat="1" applyFill="1" applyBorder="1"/>
    <xf numFmtId="0" fontId="3" fillId="8" borderId="13" xfId="0" applyFont="1" applyFill="1" applyBorder="1"/>
    <xf numFmtId="0" fontId="0" fillId="8" borderId="13" xfId="0" applyFill="1" applyBorder="1"/>
    <xf numFmtId="1" fontId="0" fillId="8" borderId="2" xfId="2" applyNumberFormat="1" applyFont="1" applyFill="1" applyBorder="1" applyAlignment="1" applyProtection="1">
      <alignment vertical="center"/>
      <protection locked="0"/>
    </xf>
    <xf numFmtId="1" fontId="44" fillId="0" borderId="0" xfId="0" applyNumberFormat="1" applyFont="1"/>
    <xf numFmtId="0" fontId="5" fillId="0" borderId="0" xfId="3" applyFill="1" applyAlignment="1">
      <alignment horizontal="center" vertical="center"/>
    </xf>
    <xf numFmtId="9" fontId="44" fillId="0" borderId="0" xfId="2" applyFont="1"/>
    <xf numFmtId="0" fontId="26" fillId="2" borderId="0" xfId="0" applyFont="1" applyFill="1" applyAlignment="1">
      <alignment wrapText="1"/>
    </xf>
    <xf numFmtId="0" fontId="26" fillId="0" borderId="0" xfId="0" applyFont="1" applyAlignment="1">
      <alignment wrapText="1"/>
    </xf>
    <xf numFmtId="175" fontId="0" fillId="0" borderId="0" xfId="0" applyNumberFormat="1"/>
    <xf numFmtId="6" fontId="3" fillId="8" borderId="2" xfId="0" applyNumberFormat="1" applyFont="1" applyFill="1" applyBorder="1"/>
    <xf numFmtId="3" fontId="44" fillId="0" borderId="0" xfId="0" applyNumberFormat="1" applyFont="1"/>
    <xf numFmtId="0" fontId="39" fillId="0" borderId="0" xfId="0" applyFont="1"/>
    <xf numFmtId="37" fontId="31" fillId="0" borderId="0" xfId="0" applyNumberFormat="1" applyFont="1"/>
    <xf numFmtId="0" fontId="29" fillId="0" borderId="0" xfId="0" applyFont="1"/>
    <xf numFmtId="0" fontId="29" fillId="0" borderId="0" xfId="0" applyFont="1" applyAlignment="1">
      <alignment horizontal="center"/>
    </xf>
    <xf numFmtId="0" fontId="29" fillId="4" borderId="0" xfId="0" applyFont="1" applyFill="1" applyAlignment="1">
      <alignment horizontal="centerContinuous"/>
    </xf>
    <xf numFmtId="0" fontId="29" fillId="4" borderId="0" xfId="0" applyFont="1" applyFill="1" applyAlignment="1">
      <alignment horizontal="center"/>
    </xf>
    <xf numFmtId="0" fontId="3" fillId="3" borderId="0" xfId="0" applyFont="1" applyFill="1"/>
    <xf numFmtId="0" fontId="25" fillId="2" borderId="0" xfId="0" applyFont="1" applyFill="1"/>
    <xf numFmtId="0" fontId="23" fillId="3" borderId="0" xfId="0" applyFont="1" applyFill="1"/>
    <xf numFmtId="0" fontId="48" fillId="0" borderId="0" xfId="0" applyFont="1" applyAlignment="1">
      <alignment vertical="center"/>
    </xf>
    <xf numFmtId="172" fontId="49" fillId="0" borderId="0" xfId="0" applyNumberFormat="1" applyFont="1"/>
    <xf numFmtId="0" fontId="8" fillId="0" borderId="0" xfId="0" applyFont="1" applyAlignment="1">
      <alignment horizontal="left"/>
    </xf>
    <xf numFmtId="169" fontId="0" fillId="8" borderId="2" xfId="2" applyNumberFormat="1" applyFont="1" applyFill="1" applyBorder="1" applyAlignment="1" applyProtection="1">
      <alignment vertical="center"/>
      <protection locked="0"/>
    </xf>
    <xf numFmtId="169" fontId="28" fillId="0" borderId="0" xfId="2" applyNumberFormat="1" applyFont="1"/>
    <xf numFmtId="169" fontId="0" fillId="0" borderId="0" xfId="0" applyNumberFormat="1"/>
    <xf numFmtId="169" fontId="27" fillId="0" borderId="0" xfId="2" applyNumberFormat="1" applyFont="1"/>
    <xf numFmtId="0" fontId="4" fillId="0" borderId="0" xfId="1" applyNumberFormat="1" applyFont="1" applyFill="1" applyBorder="1" applyAlignment="1">
      <alignment vertical="center"/>
    </xf>
    <xf numFmtId="1" fontId="0" fillId="8" borderId="13" xfId="0" applyNumberFormat="1" applyFill="1" applyBorder="1" applyAlignment="1">
      <alignment wrapText="1"/>
    </xf>
    <xf numFmtId="0" fontId="44" fillId="0" borderId="0" xfId="0" applyFont="1" applyAlignment="1">
      <alignment wrapText="1"/>
    </xf>
    <xf numFmtId="0" fontId="50" fillId="0" borderId="0" xfId="0" applyFont="1" applyAlignment="1">
      <alignment wrapText="1"/>
    </xf>
    <xf numFmtId="1" fontId="0" fillId="0" borderId="0" xfId="0" applyNumberFormat="1" applyAlignment="1">
      <alignment wrapText="1"/>
    </xf>
    <xf numFmtId="1" fontId="0" fillId="8" borderId="13" xfId="0" applyNumberFormat="1" applyFill="1" applyBorder="1"/>
    <xf numFmtId="0" fontId="0" fillId="0" borderId="0" xfId="0" applyAlignment="1">
      <alignment horizontal="center" wrapText="1"/>
    </xf>
    <xf numFmtId="168" fontId="44" fillId="0" borderId="0" xfId="0" applyNumberFormat="1" applyFont="1"/>
    <xf numFmtId="168" fontId="3" fillId="0" borderId="0" xfId="0" applyNumberFormat="1" applyFont="1"/>
    <xf numFmtId="9" fontId="44" fillId="0" borderId="0" xfId="2" applyFont="1" applyFill="1" applyBorder="1"/>
    <xf numFmtId="3" fontId="44" fillId="0" borderId="0" xfId="2" applyNumberFormat="1" applyFont="1" applyFill="1"/>
    <xf numFmtId="3" fontId="3" fillId="0" borderId="0" xfId="2" applyNumberFormat="1" applyFont="1" applyFill="1"/>
    <xf numFmtId="0" fontId="0" fillId="0" borderId="8" xfId="0" applyBorder="1" applyAlignment="1">
      <alignment wrapText="1"/>
    </xf>
    <xf numFmtId="3" fontId="0" fillId="0" borderId="8" xfId="0" applyNumberFormat="1" applyBorder="1" applyAlignment="1">
      <alignment wrapText="1"/>
    </xf>
    <xf numFmtId="3" fontId="2" fillId="0" borderId="8" xfId="0" applyNumberFormat="1" applyFont="1" applyBorder="1" applyAlignment="1">
      <alignment wrapText="1"/>
    </xf>
    <xf numFmtId="3" fontId="0" fillId="0" borderId="9" xfId="0" applyNumberFormat="1" applyBorder="1" applyAlignment="1">
      <alignment wrapText="1"/>
    </xf>
    <xf numFmtId="3" fontId="2" fillId="0" borderId="10" xfId="0" applyNumberFormat="1" applyFont="1" applyBorder="1" applyAlignment="1">
      <alignment wrapText="1"/>
    </xf>
    <xf numFmtId="9" fontId="39" fillId="8" borderId="2" xfId="2" applyFont="1" applyFill="1" applyBorder="1"/>
    <xf numFmtId="170" fontId="51" fillId="0" borderId="0" xfId="0" applyNumberFormat="1" applyFont="1"/>
    <xf numFmtId="0" fontId="26" fillId="0" borderId="0" xfId="0" applyFont="1"/>
    <xf numFmtId="169" fontId="39" fillId="0" borderId="0" xfId="2" applyNumberFormat="1" applyFont="1" applyFill="1"/>
    <xf numFmtId="168" fontId="39" fillId="0" borderId="0" xfId="0" applyNumberFormat="1" applyFont="1"/>
    <xf numFmtId="0" fontId="52" fillId="9" borderId="0" xfId="0" applyFont="1" applyFill="1"/>
    <xf numFmtId="0" fontId="52" fillId="9" borderId="0" xfId="0" applyFont="1" applyFill="1" applyAlignment="1">
      <alignment horizontal="centerContinuous"/>
    </xf>
    <xf numFmtId="0" fontId="52" fillId="9" borderId="0" xfId="0" applyFont="1" applyFill="1" applyAlignment="1">
      <alignment wrapText="1"/>
    </xf>
    <xf numFmtId="0" fontId="52" fillId="9" borderId="0" xfId="0" applyFont="1" applyFill="1" applyAlignment="1">
      <alignment horizontal="center"/>
    </xf>
    <xf numFmtId="0" fontId="53" fillId="2" borderId="0" xfId="0" applyFont="1" applyFill="1"/>
    <xf numFmtId="0" fontId="26" fillId="2" borderId="0" xfId="0" applyFont="1" applyFill="1"/>
    <xf numFmtId="0" fontId="39" fillId="0" borderId="0" xfId="0" applyFont="1" applyAlignment="1">
      <alignment horizontal="left" indent="2"/>
    </xf>
    <xf numFmtId="0" fontId="39" fillId="8" borderId="13" xfId="0" applyFont="1" applyFill="1" applyBorder="1"/>
    <xf numFmtId="0" fontId="54" fillId="0" borderId="0" xfId="0" applyFont="1"/>
    <xf numFmtId="0" fontId="49" fillId="0" borderId="0" xfId="0" applyFont="1"/>
    <xf numFmtId="9" fontId="49" fillId="0" borderId="0" xfId="2" applyFont="1"/>
    <xf numFmtId="2" fontId="0" fillId="0" borderId="0" xfId="2" applyNumberFormat="1" applyFont="1" applyFill="1" applyBorder="1" applyAlignment="1" applyProtection="1">
      <alignment vertical="center"/>
      <protection locked="0"/>
    </xf>
    <xf numFmtId="168" fontId="0" fillId="8" borderId="2" xfId="2" applyNumberFormat="1" applyFont="1" applyFill="1" applyBorder="1" applyAlignment="1" applyProtection="1">
      <alignment vertical="center"/>
      <protection locked="0"/>
    </xf>
    <xf numFmtId="0" fontId="3" fillId="0" borderId="0" xfId="0" applyFont="1" applyAlignment="1">
      <alignment horizontal="left" indent="1"/>
    </xf>
    <xf numFmtId="0" fontId="0" fillId="0" borderId="0" xfId="0" applyAlignment="1">
      <alignment horizontal="left" indent="1"/>
    </xf>
    <xf numFmtId="168" fontId="0" fillId="8" borderId="2" xfId="0" applyNumberFormat="1" applyFill="1" applyBorder="1"/>
    <xf numFmtId="170" fontId="0" fillId="8" borderId="2" xfId="2" applyNumberFormat="1" applyFont="1" applyFill="1" applyBorder="1" applyAlignment="1" applyProtection="1">
      <alignment vertical="center"/>
      <protection locked="0"/>
    </xf>
    <xf numFmtId="0" fontId="0" fillId="8" borderId="2" xfId="2" applyNumberFormat="1" applyFont="1" applyFill="1" applyBorder="1" applyAlignment="1" applyProtection="1">
      <alignment vertical="center"/>
      <protection locked="0"/>
    </xf>
    <xf numFmtId="170" fontId="3" fillId="0" borderId="0" xfId="2" applyNumberFormat="1" applyFont="1" applyAlignment="1">
      <alignment vertical="center" wrapText="1"/>
    </xf>
    <xf numFmtId="170" fontId="35" fillId="0" borderId="0" xfId="0" applyNumberFormat="1" applyFont="1"/>
    <xf numFmtId="0" fontId="3" fillId="0" borderId="14" xfId="0" applyFont="1" applyBorder="1"/>
    <xf numFmtId="170" fontId="0" fillId="0" borderId="15" xfId="0" applyNumberFormat="1" applyBorder="1"/>
    <xf numFmtId="169" fontId="3" fillId="0" borderId="0" xfId="2" applyNumberFormat="1" applyFont="1"/>
    <xf numFmtId="9" fontId="3" fillId="0" borderId="0" xfId="0" applyNumberFormat="1" applyFont="1"/>
    <xf numFmtId="0" fontId="55" fillId="0" borderId="0" xfId="0" applyFont="1"/>
    <xf numFmtId="1" fontId="55" fillId="0" borderId="0" xfId="0" applyNumberFormat="1" applyFont="1"/>
    <xf numFmtId="1" fontId="25" fillId="0" borderId="0" xfId="0" applyNumberFormat="1" applyFont="1"/>
    <xf numFmtId="0" fontId="56" fillId="0" borderId="0" xfId="0" applyFont="1"/>
    <xf numFmtId="0" fontId="57" fillId="0" borderId="0" xfId="0" applyFont="1"/>
    <xf numFmtId="0" fontId="3" fillId="0" borderId="0" xfId="0" applyFont="1" applyAlignment="1">
      <alignment horizontal="left"/>
    </xf>
    <xf numFmtId="1" fontId="0" fillId="8" borderId="16" xfId="0" applyNumberFormat="1" applyFill="1" applyBorder="1"/>
    <xf numFmtId="1" fontId="0" fillId="8" borderId="17" xfId="0" applyNumberFormat="1" applyFill="1" applyBorder="1"/>
    <xf numFmtId="0" fontId="44" fillId="0" borderId="0" xfId="0" applyFont="1" applyAlignment="1">
      <alignment horizontal="center"/>
    </xf>
    <xf numFmtId="0" fontId="28" fillId="0" borderId="0" xfId="0" applyFont="1" applyAlignment="1">
      <alignment horizontal="center"/>
    </xf>
    <xf numFmtId="0" fontId="2" fillId="0" borderId="0" xfId="0" applyFont="1" applyAlignment="1">
      <alignment wrapText="1"/>
    </xf>
    <xf numFmtId="9" fontId="3" fillId="0" borderId="0" xfId="2" applyFont="1"/>
    <xf numFmtId="0" fontId="31" fillId="0" borderId="0" xfId="0" applyFont="1"/>
    <xf numFmtId="0" fontId="21" fillId="0" borderId="0" xfId="0" applyFont="1"/>
    <xf numFmtId="176" fontId="0" fillId="0" borderId="0" xfId="0" applyNumberFormat="1"/>
    <xf numFmtId="6" fontId="0" fillId="0" borderId="0" xfId="0" applyNumberFormat="1" applyAlignment="1">
      <alignment wrapText="1"/>
    </xf>
    <xf numFmtId="0" fontId="3" fillId="8" borderId="2" xfId="0" applyFont="1" applyFill="1" applyBorder="1" applyAlignment="1">
      <alignment horizontal="left"/>
    </xf>
    <xf numFmtId="0" fontId="58" fillId="0" borderId="0" xfId="0" applyFont="1" applyAlignment="1">
      <alignment wrapText="1"/>
    </xf>
    <xf numFmtId="0" fontId="34" fillId="0" borderId="0" xfId="0" applyFont="1" applyAlignment="1">
      <alignment wrapText="1"/>
    </xf>
    <xf numFmtId="0" fontId="59" fillId="0" borderId="0" xfId="0" applyFont="1"/>
    <xf numFmtId="0" fontId="59" fillId="0" borderId="0" xfId="0" applyFont="1" applyAlignment="1">
      <alignment wrapText="1"/>
    </xf>
    <xf numFmtId="2" fontId="59" fillId="0" borderId="0" xfId="0" applyNumberFormat="1" applyFont="1" applyAlignment="1">
      <alignment wrapText="1"/>
    </xf>
    <xf numFmtId="9" fontId="59" fillId="0" borderId="0" xfId="2" applyFont="1" applyAlignment="1"/>
    <xf numFmtId="9" fontId="59" fillId="0" borderId="0" xfId="2" applyFont="1" applyAlignment="1">
      <alignment wrapText="1"/>
    </xf>
    <xf numFmtId="0" fontId="60" fillId="0" borderId="0" xfId="0" applyFont="1"/>
    <xf numFmtId="170" fontId="59" fillId="0" borderId="0" xfId="0" applyNumberFormat="1" applyFont="1"/>
    <xf numFmtId="0" fontId="61" fillId="0" borderId="0" xfId="0" applyFont="1"/>
    <xf numFmtId="170" fontId="59" fillId="0" borderId="0" xfId="0" applyNumberFormat="1" applyFont="1" applyAlignment="1">
      <alignment wrapText="1"/>
    </xf>
    <xf numFmtId="168" fontId="59" fillId="0" borderId="0" xfId="0" applyNumberFormat="1" applyFont="1" applyAlignment="1">
      <alignment wrapText="1"/>
    </xf>
    <xf numFmtId="9" fontId="59" fillId="0" borderId="0" xfId="0" applyNumberFormat="1" applyFont="1" applyAlignment="1">
      <alignment wrapText="1"/>
    </xf>
    <xf numFmtId="0" fontId="59" fillId="0" borderId="18" xfId="2" applyNumberFormat="1" applyFont="1" applyFill="1" applyBorder="1"/>
    <xf numFmtId="0" fontId="0" fillId="8" borderId="2" xfId="2" applyNumberFormat="1" applyFont="1" applyFill="1" applyBorder="1"/>
    <xf numFmtId="0" fontId="59" fillId="0" borderId="0" xfId="2" applyNumberFormat="1" applyFont="1"/>
    <xf numFmtId="10" fontId="0" fillId="0" borderId="0" xfId="2" applyNumberFormat="1" applyFont="1" applyAlignment="1">
      <alignment wrapText="1"/>
    </xf>
    <xf numFmtId="0" fontId="3" fillId="0" borderId="0" xfId="0" applyFont="1" applyAlignment="1">
      <alignment horizontal="right" wrapText="1"/>
    </xf>
    <xf numFmtId="0" fontId="0" fillId="0" borderId="0" xfId="0" applyAlignment="1">
      <alignment horizontal="right" wrapText="1"/>
    </xf>
    <xf numFmtId="0" fontId="44" fillId="0" borderId="0" xfId="0" applyFont="1" applyAlignment="1">
      <alignment horizontal="right" wrapText="1"/>
    </xf>
    <xf numFmtId="0" fontId="0" fillId="0" borderId="19" xfId="0" applyBorder="1"/>
    <xf numFmtId="0" fontId="0" fillId="0" borderId="0" xfId="0" applyAlignment="1">
      <alignment horizontal="left" indent="22"/>
    </xf>
    <xf numFmtId="0" fontId="0" fillId="0" borderId="0" xfId="0" applyAlignment="1">
      <alignment horizontal="left" wrapText="1" indent="22"/>
    </xf>
    <xf numFmtId="0" fontId="0" fillId="8" borderId="3" xfId="0" applyFill="1" applyBorder="1"/>
    <xf numFmtId="0" fontId="0" fillId="8" borderId="4" xfId="0" applyFill="1" applyBorder="1"/>
    <xf numFmtId="0" fontId="0" fillId="8" borderId="5" xfId="0" applyFill="1" applyBorder="1"/>
    <xf numFmtId="0" fontId="3" fillId="0" borderId="0" xfId="0" applyFont="1" applyAlignment="1">
      <alignment wrapText="1"/>
    </xf>
    <xf numFmtId="0" fontId="46" fillId="0" borderId="0" xfId="0" applyFont="1" applyAlignment="1">
      <alignment vertical="center"/>
    </xf>
    <xf numFmtId="0" fontId="3" fillId="8" borderId="3" xfId="0" applyFont="1" applyFill="1" applyBorder="1"/>
    <xf numFmtId="0" fontId="3" fillId="8" borderId="5" xfId="0" applyFont="1" applyFill="1" applyBorder="1"/>
    <xf numFmtId="0" fontId="0" fillId="8" borderId="3" xfId="0" applyFill="1" applyBorder="1"/>
    <xf numFmtId="0" fontId="0" fillId="8" borderId="4" xfId="0" applyFill="1" applyBorder="1"/>
    <xf numFmtId="0" fontId="0" fillId="8" borderId="5" xfId="0" applyFill="1" applyBorder="1"/>
    <xf numFmtId="0" fontId="3" fillId="0" borderId="0" xfId="0" applyFont="1" applyAlignment="1">
      <alignment wrapText="1"/>
    </xf>
    <xf numFmtId="0" fontId="0" fillId="0" borderId="0" xfId="0" applyAlignment="1">
      <alignment wrapText="1"/>
    </xf>
    <xf numFmtId="0" fontId="46" fillId="0" borderId="0" xfId="0" applyFont="1" applyAlignment="1">
      <alignment vertical="center"/>
    </xf>
  </cellXfs>
  <cellStyles count="9">
    <cellStyle name="Collab2" xfId="8" xr:uid="{0E6A1FB6-AA61-4A5D-9D42-6BA70629D19F}"/>
    <cellStyle name="Comma" xfId="1" builtinId="3"/>
    <cellStyle name="Hyperlink" xfId="3" builtinId="8"/>
    <cellStyle name="Hyperlink 2" xfId="6" xr:uid="{25475C91-F3D3-4F22-8FA8-60A2926D3F2F}"/>
    <cellStyle name="Normal" xfId="0" builtinId="0"/>
    <cellStyle name="Normal 2" xfId="5" xr:uid="{4F627435-3CFA-422A-94BD-40B0F69FA4BD}"/>
    <cellStyle name="Normal 3" xfId="7" xr:uid="{BBA49EEF-E730-45A1-BABD-07DFD5952A33}"/>
    <cellStyle name="Normal 4" xfId="4" xr:uid="{4B9CD88E-A909-4D82-A147-E4A1762DF24C}"/>
    <cellStyle name="Percent" xfId="2" builtinId="5"/>
  </cellStyles>
  <dxfs count="9">
    <dxf>
      <font>
        <color theme="9"/>
      </font>
    </dxf>
    <dxf>
      <font>
        <color rgb="FFFF0000"/>
      </font>
    </dxf>
    <dxf>
      <font>
        <color theme="9"/>
      </font>
    </dxf>
    <dxf>
      <font>
        <color rgb="FFFF0000"/>
      </font>
    </dxf>
    <dxf>
      <font>
        <color theme="9"/>
      </font>
    </dxf>
    <dxf>
      <font>
        <color rgb="FFFF0000"/>
      </font>
    </dxf>
    <dxf>
      <font>
        <b/>
        <i val="0"/>
      </font>
    </dxf>
    <dxf>
      <font>
        <b/>
        <i val="0"/>
      </font>
    </dxf>
    <dxf>
      <font>
        <b/>
        <i val="0"/>
      </font>
    </dxf>
  </dxfs>
  <tableStyles count="0" defaultTableStyle="TableStyleMedium2" defaultPivotStyle="PivotStyleLight16"/>
  <colors>
    <mruColors>
      <color rgb="FF522668"/>
      <color rgb="FF9364AC"/>
      <color rgb="FF002060"/>
      <color rgb="FFB4C6E7"/>
      <color rgb="FF808080"/>
      <color rgb="FFF05D2B"/>
      <color rgb="FF096BB9"/>
      <color rgb="FF70B32F"/>
      <color rgb="FF9966F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Results!$A$78</c:f>
              <c:strCache>
                <c:ptCount val="1"/>
                <c:pt idx="0">
                  <c:v>Status quo</c:v>
                </c:pt>
              </c:strCache>
            </c:strRef>
          </c:tx>
          <c:spPr>
            <a:ln w="28575" cap="rnd">
              <a:solidFill>
                <a:schemeClr val="tx1">
                  <a:lumMod val="50000"/>
                  <a:lumOff val="50000"/>
                </a:schemeClr>
              </a:solidFill>
              <a:prstDash val="sysDot"/>
              <a:round/>
            </a:ln>
            <a:effectLst/>
          </c:spPr>
          <c:marker>
            <c:symbol val="circle"/>
            <c:size val="6"/>
            <c:spPr>
              <a:solidFill>
                <a:schemeClr val="bg1"/>
              </a:solidFill>
              <a:ln w="9525">
                <a:solidFill>
                  <a:schemeClr val="tx1">
                    <a:lumMod val="50000"/>
                    <a:lumOff val="50000"/>
                  </a:schemeClr>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Results!$F$29:$K$29</c:f>
              <c:numCache>
                <c:formatCode>"$"#,##0</c:formatCode>
                <c:ptCount val="6"/>
                <c:pt idx="0">
                  <c:v>2059981.7422489147</c:v>
                </c:pt>
                <c:pt idx="1">
                  <c:v>2059981.7422489147</c:v>
                </c:pt>
                <c:pt idx="2">
                  <c:v>2059981.7422489147</c:v>
                </c:pt>
                <c:pt idx="3">
                  <c:v>2059981.7422489147</c:v>
                </c:pt>
                <c:pt idx="4">
                  <c:v>2059981.7422489147</c:v>
                </c:pt>
                <c:pt idx="5">
                  <c:v>2059981.7422489147</c:v>
                </c:pt>
              </c:numCache>
            </c:numRef>
          </c:val>
          <c:smooth val="0"/>
          <c:extLst>
            <c:ext xmlns:c16="http://schemas.microsoft.com/office/drawing/2014/chart" uri="{C3380CC4-5D6E-409C-BE32-E72D297353CC}">
              <c16:uniqueId val="{00000000-835C-483A-AFC0-54036C8B36D2}"/>
            </c:ext>
          </c:extLst>
        </c:ser>
        <c:ser>
          <c:idx val="16"/>
          <c:order val="1"/>
          <c:tx>
            <c:strRef>
              <c:f>Results!$M$4</c:f>
              <c:strCache>
                <c:ptCount val="1"/>
                <c:pt idx="0">
                  <c:v>Proposal</c:v>
                </c:pt>
              </c:strCache>
            </c:strRef>
          </c:tx>
          <c:spPr>
            <a:ln w="28575" cap="rnd">
              <a:solidFill>
                <a:srgbClr val="522668"/>
              </a:solidFill>
              <a:round/>
            </a:ln>
            <a:effectLst/>
          </c:spPr>
          <c:marker>
            <c:symbol val="circle"/>
            <c:size val="6"/>
            <c:spPr>
              <a:solidFill>
                <a:schemeClr val="bg1"/>
              </a:solidFill>
              <a:ln w="9525">
                <a:solidFill>
                  <a:srgbClr val="522668"/>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Results!$L$29:$Q$29</c:f>
              <c:numCache>
                <c:formatCode>"$"#,##0</c:formatCode>
                <c:ptCount val="6"/>
                <c:pt idx="0">
                  <c:v>2059981.7422489147</c:v>
                </c:pt>
                <c:pt idx="1">
                  <c:v>2059981.7422489147</c:v>
                </c:pt>
                <c:pt idx="2">
                  <c:v>2059981.7422489147</c:v>
                </c:pt>
                <c:pt idx="3">
                  <c:v>2059981.7422489147</c:v>
                </c:pt>
                <c:pt idx="4">
                  <c:v>2059981.7422489147</c:v>
                </c:pt>
                <c:pt idx="5">
                  <c:v>2059981.7422489147</c:v>
                </c:pt>
              </c:numCache>
            </c:numRef>
          </c:val>
          <c:smooth val="0"/>
          <c:extLst>
            <c:ext xmlns:c16="http://schemas.microsoft.com/office/drawing/2014/chart" uri="{C3380CC4-5D6E-409C-BE32-E72D297353CC}">
              <c16:uniqueId val="{00000001-835C-483A-AFC0-54036C8B36D2}"/>
            </c:ext>
          </c:extLst>
        </c:ser>
        <c:dLbls>
          <c:showLegendKey val="0"/>
          <c:showVal val="0"/>
          <c:showCatName val="0"/>
          <c:showSerName val="0"/>
          <c:showPercent val="0"/>
          <c:showBubbleSize val="0"/>
        </c:dLbls>
        <c:marker val="1"/>
        <c:smooth val="0"/>
        <c:axId val="764708304"/>
        <c:axId val="764705904"/>
      </c:lineChart>
      <c:catAx>
        <c:axId val="7647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5904"/>
        <c:crosses val="autoZero"/>
        <c:auto val="1"/>
        <c:lblAlgn val="ctr"/>
        <c:lblOffset val="100"/>
        <c:noMultiLvlLbl val="0"/>
      </c:catAx>
      <c:valAx>
        <c:axId val="7647059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8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Status Quo</c:v>
          </c:tx>
          <c:spPr>
            <a:ln w="28575" cap="rnd">
              <a:solidFill>
                <a:schemeClr val="tx1">
                  <a:lumMod val="50000"/>
                  <a:lumOff val="50000"/>
                </a:schemeClr>
              </a:solidFill>
              <a:prstDash val="sysDot"/>
              <a:round/>
            </a:ln>
            <a:effectLst/>
          </c:spPr>
          <c:marker>
            <c:symbol val="circle"/>
            <c:size val="6"/>
            <c:spPr>
              <a:solidFill>
                <a:schemeClr val="bg1"/>
              </a:solidFill>
              <a:ln w="9525">
                <a:solidFill>
                  <a:schemeClr val="tx1">
                    <a:lumMod val="50000"/>
                    <a:lumOff val="50000"/>
                  </a:schemeClr>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Results!$F$19:$K$19</c:f>
              <c:numCache>
                <c:formatCode>#,##0</c:formatCode>
                <c:ptCount val="6"/>
                <c:pt idx="0">
                  <c:v>21000</c:v>
                </c:pt>
                <c:pt idx="1">
                  <c:v>21000</c:v>
                </c:pt>
                <c:pt idx="2">
                  <c:v>21000</c:v>
                </c:pt>
                <c:pt idx="3">
                  <c:v>21000</c:v>
                </c:pt>
                <c:pt idx="4">
                  <c:v>21000</c:v>
                </c:pt>
                <c:pt idx="5">
                  <c:v>21000</c:v>
                </c:pt>
              </c:numCache>
            </c:numRef>
          </c:val>
          <c:smooth val="0"/>
          <c:extLst>
            <c:ext xmlns:c16="http://schemas.microsoft.com/office/drawing/2014/chart" uri="{C3380CC4-5D6E-409C-BE32-E72D297353CC}">
              <c16:uniqueId val="{00000000-835C-483A-AFC0-54036C8B36D2}"/>
            </c:ext>
          </c:extLst>
        </c:ser>
        <c:ser>
          <c:idx val="16"/>
          <c:order val="1"/>
          <c:tx>
            <c:v>Proposal</c:v>
          </c:tx>
          <c:spPr>
            <a:ln w="28575" cap="rnd">
              <a:solidFill>
                <a:srgbClr val="522668"/>
              </a:solidFill>
              <a:round/>
            </a:ln>
            <a:effectLst/>
          </c:spPr>
          <c:marker>
            <c:symbol val="circle"/>
            <c:size val="6"/>
            <c:spPr>
              <a:solidFill>
                <a:schemeClr val="bg1"/>
              </a:solidFill>
              <a:ln w="9525">
                <a:solidFill>
                  <a:srgbClr val="522668"/>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Results!$L$19:$Q$19</c:f>
              <c:numCache>
                <c:formatCode>#,##0</c:formatCode>
                <c:ptCount val="6"/>
                <c:pt idx="0">
                  <c:v>21000</c:v>
                </c:pt>
                <c:pt idx="1">
                  <c:v>21000</c:v>
                </c:pt>
                <c:pt idx="2">
                  <c:v>21000</c:v>
                </c:pt>
                <c:pt idx="3">
                  <c:v>21000</c:v>
                </c:pt>
                <c:pt idx="4">
                  <c:v>21000</c:v>
                </c:pt>
                <c:pt idx="5">
                  <c:v>21000</c:v>
                </c:pt>
              </c:numCache>
            </c:numRef>
          </c:val>
          <c:smooth val="0"/>
          <c:extLst>
            <c:ext xmlns:c16="http://schemas.microsoft.com/office/drawing/2014/chart" uri="{C3380CC4-5D6E-409C-BE32-E72D297353CC}">
              <c16:uniqueId val="{00000001-835C-483A-AFC0-54036C8B36D2}"/>
            </c:ext>
          </c:extLst>
        </c:ser>
        <c:dLbls>
          <c:showLegendKey val="0"/>
          <c:showVal val="0"/>
          <c:showCatName val="0"/>
          <c:showSerName val="0"/>
          <c:showPercent val="0"/>
          <c:showBubbleSize val="0"/>
        </c:dLbls>
        <c:marker val="1"/>
        <c:smooth val="0"/>
        <c:axId val="764708304"/>
        <c:axId val="764705904"/>
      </c:lineChart>
      <c:catAx>
        <c:axId val="7647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5904"/>
        <c:crosses val="autoZero"/>
        <c:auto val="1"/>
        <c:lblAlgn val="ctr"/>
        <c:lblOffset val="100"/>
        <c:noMultiLvlLbl val="0"/>
      </c:catAx>
      <c:valAx>
        <c:axId val="764705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8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Results!$I$53</c:f>
              <c:strCache>
                <c:ptCount val="1"/>
                <c:pt idx="0">
                  <c:v>Cost (SQ)</c:v>
                </c:pt>
              </c:strCache>
            </c:strRef>
          </c:tx>
          <c:spPr>
            <a:ln w="28575">
              <a:solidFill>
                <a:schemeClr val="accent2">
                  <a:lumMod val="50000"/>
                </a:schemeClr>
              </a:solidFill>
            </a:ln>
          </c:spPr>
          <c:marker>
            <c:symbol val="circle"/>
            <c:size val="6"/>
            <c:spPr>
              <a:solidFill>
                <a:schemeClr val="bg1">
                  <a:lumMod val="95000"/>
                </a:schemeClr>
              </a:solidFill>
              <a:ln>
                <a:solidFill>
                  <a:schemeClr val="accent2">
                    <a:lumMod val="50000"/>
                  </a:schemeClr>
                </a:solidFill>
              </a:ln>
            </c:spPr>
          </c:marker>
          <c:cat>
            <c:numRef>
              <c:f>Results!$H$54:$H$64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Results!$I$54:$I$64</c:f>
              <c:numCache>
                <c:formatCode>"$"#,##0.00</c:formatCode>
                <c:ptCount val="11"/>
                <c:pt idx="0">
                  <c:v>18.304840800000001</c:v>
                </c:pt>
                <c:pt idx="1">
                  <c:v>99.109205450127149</c:v>
                </c:pt>
                <c:pt idx="2">
                  <c:v>179.9135701002543</c:v>
                </c:pt>
                <c:pt idx="3">
                  <c:v>260.71793475038146</c:v>
                </c:pt>
                <c:pt idx="4">
                  <c:v>341.52229940050864</c:v>
                </c:pt>
                <c:pt idx="5">
                  <c:v>422.32666405063577</c:v>
                </c:pt>
                <c:pt idx="6">
                  <c:v>503.13102870076295</c:v>
                </c:pt>
                <c:pt idx="7">
                  <c:v>583.93539335089008</c:v>
                </c:pt>
                <c:pt idx="8">
                  <c:v>664.73975800101721</c:v>
                </c:pt>
                <c:pt idx="9">
                  <c:v>745.54412265114433</c:v>
                </c:pt>
                <c:pt idx="10">
                  <c:v>826.34848730127146</c:v>
                </c:pt>
              </c:numCache>
            </c:numRef>
          </c:val>
          <c:smooth val="0"/>
          <c:extLst>
            <c:ext xmlns:c16="http://schemas.microsoft.com/office/drawing/2014/chart" uri="{C3380CC4-5D6E-409C-BE32-E72D297353CC}">
              <c16:uniqueId val="{00000006-924E-49C2-A7FA-E93D71538039}"/>
            </c:ext>
          </c:extLst>
        </c:ser>
        <c:ser>
          <c:idx val="3"/>
          <c:order val="1"/>
          <c:tx>
            <c:strRef>
              <c:f>Results!$J$53</c:f>
              <c:strCache>
                <c:ptCount val="1"/>
                <c:pt idx="0">
                  <c:v>Revenue (SQ)</c:v>
                </c:pt>
              </c:strCache>
            </c:strRef>
          </c:tx>
          <c:spPr>
            <a:ln w="28575">
              <a:solidFill>
                <a:schemeClr val="tx2">
                  <a:lumMod val="50000"/>
                </a:schemeClr>
              </a:solidFill>
            </a:ln>
          </c:spPr>
          <c:marker>
            <c:symbol val="circle"/>
            <c:size val="6"/>
            <c:spPr>
              <a:solidFill>
                <a:schemeClr val="bg1">
                  <a:lumMod val="95000"/>
                </a:schemeClr>
              </a:solidFill>
              <a:ln>
                <a:solidFill>
                  <a:schemeClr val="tx2">
                    <a:lumMod val="50000"/>
                  </a:schemeClr>
                </a:solidFill>
              </a:ln>
            </c:spPr>
          </c:marker>
          <c:cat>
            <c:numRef>
              <c:f>Results!$H$54:$H$64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Results!$J$54:$J$64</c:f>
              <c:numCache>
                <c:formatCode>"$"#,##0.00</c:formatCode>
                <c:ptCount val="11"/>
                <c:pt idx="0">
                  <c:v>274.29177517254396</c:v>
                </c:pt>
                <c:pt idx="1">
                  <c:v>307.07857833379131</c:v>
                </c:pt>
                <c:pt idx="2">
                  <c:v>339.86538149503872</c:v>
                </c:pt>
                <c:pt idx="3">
                  <c:v>372.65218465628607</c:v>
                </c:pt>
                <c:pt idx="4">
                  <c:v>405.43898781753342</c:v>
                </c:pt>
                <c:pt idx="5">
                  <c:v>438.22579097878082</c:v>
                </c:pt>
                <c:pt idx="6">
                  <c:v>471.01259414002817</c:v>
                </c:pt>
                <c:pt idx="7">
                  <c:v>503.79939730127558</c:v>
                </c:pt>
                <c:pt idx="8">
                  <c:v>536.58620046252292</c:v>
                </c:pt>
                <c:pt idx="9">
                  <c:v>569.37300362377027</c:v>
                </c:pt>
                <c:pt idx="10">
                  <c:v>602.15980678501774</c:v>
                </c:pt>
              </c:numCache>
            </c:numRef>
          </c:val>
          <c:smooth val="0"/>
          <c:extLst>
            <c:ext xmlns:c16="http://schemas.microsoft.com/office/drawing/2014/chart" uri="{C3380CC4-5D6E-409C-BE32-E72D297353CC}">
              <c16:uniqueId val="{00000007-924E-49C2-A7FA-E93D71538039}"/>
            </c:ext>
          </c:extLst>
        </c:ser>
        <c:dLbls>
          <c:showLegendKey val="0"/>
          <c:showVal val="0"/>
          <c:showCatName val="0"/>
          <c:showSerName val="0"/>
          <c:showPercent val="0"/>
          <c:showBubbleSize val="0"/>
        </c:dLbls>
        <c:marker val="1"/>
        <c:smooth val="0"/>
        <c:axId val="223947519"/>
        <c:axId val="223959519"/>
      </c:lineChart>
      <c:catAx>
        <c:axId val="22394751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Annual</a:t>
                </a:r>
                <a:r>
                  <a:rPr lang="en-NZ" baseline="0"/>
                  <a:t> contacts per ESU</a:t>
                </a:r>
                <a:endParaRPr lang="en-NZ"/>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59519"/>
        <c:crosses val="autoZero"/>
        <c:auto val="1"/>
        <c:lblAlgn val="ctr"/>
        <c:lblOffset val="100"/>
        <c:noMultiLvlLbl val="0"/>
      </c:catAx>
      <c:valAx>
        <c:axId val="223959519"/>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Average</a:t>
                </a:r>
                <a:r>
                  <a:rPr lang="en-NZ" baseline="0"/>
                  <a:t> revenue/cost</a:t>
                </a:r>
                <a:endParaRPr lang="en-NZ"/>
              </a:p>
            </c:rich>
          </c:tx>
          <c:overlay val="0"/>
          <c:spPr>
            <a:noFill/>
            <a:ln>
              <a:noFill/>
            </a:ln>
            <a:effectLst/>
          </c:sp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7519"/>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Results!$O$53</c:f>
              <c:strCache>
                <c:ptCount val="1"/>
                <c:pt idx="0">
                  <c:v>Cost (Proposed)</c:v>
                </c:pt>
              </c:strCache>
            </c:strRef>
          </c:tx>
          <c:spPr>
            <a:ln w="28575" cap="rnd">
              <a:solidFill>
                <a:schemeClr val="accent2">
                  <a:lumMod val="50000"/>
                </a:schemeClr>
              </a:solidFill>
              <a:round/>
            </a:ln>
            <a:effectLst/>
          </c:spPr>
          <c:marker>
            <c:symbol val="circle"/>
            <c:size val="6"/>
            <c:spPr>
              <a:solidFill>
                <a:schemeClr val="bg1">
                  <a:alpha val="98000"/>
                </a:schemeClr>
              </a:solidFill>
              <a:ln w="9525">
                <a:solidFill>
                  <a:schemeClr val="accent2">
                    <a:lumMod val="50000"/>
                  </a:schemeClr>
                </a:solidFill>
              </a:ln>
              <a:effectLst/>
            </c:spPr>
          </c:marker>
          <c:cat>
            <c:numRef>
              <c:f>Results!$N$54:$N$64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Results!$O$54:$O$64</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3401-4380-97E0-43B2583EE3CA}"/>
            </c:ext>
          </c:extLst>
        </c:ser>
        <c:ser>
          <c:idx val="3"/>
          <c:order val="1"/>
          <c:tx>
            <c:strRef>
              <c:f>Results!$P$53</c:f>
              <c:strCache>
                <c:ptCount val="1"/>
                <c:pt idx="0">
                  <c:v>Revenue (Proposed)</c:v>
                </c:pt>
              </c:strCache>
            </c:strRef>
          </c:tx>
          <c:spPr>
            <a:ln w="28575" cap="rnd">
              <a:solidFill>
                <a:schemeClr val="tx2">
                  <a:lumMod val="50000"/>
                </a:schemeClr>
              </a:solidFill>
              <a:round/>
            </a:ln>
            <a:effectLst/>
          </c:spPr>
          <c:marker>
            <c:symbol val="circle"/>
            <c:size val="6"/>
            <c:spPr>
              <a:solidFill>
                <a:schemeClr val="bg1">
                  <a:lumMod val="95000"/>
                </a:schemeClr>
              </a:solidFill>
              <a:ln w="9525">
                <a:solidFill>
                  <a:schemeClr val="tx2">
                    <a:lumMod val="50000"/>
                  </a:schemeClr>
                </a:solidFill>
              </a:ln>
              <a:effectLst/>
            </c:spPr>
          </c:marker>
          <c:cat>
            <c:numRef>
              <c:f>Results!$N$54:$N$64</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Results!$P$54:$P$64</c:f>
              <c:numCache>
                <c:formatCode>"$"#,##0.00</c:formatCode>
                <c:ptCount val="11"/>
                <c:pt idx="0">
                  <c:v>274.29177517254396</c:v>
                </c:pt>
                <c:pt idx="1">
                  <c:v>307.07857833379131</c:v>
                </c:pt>
                <c:pt idx="2">
                  <c:v>339.86538149503872</c:v>
                </c:pt>
                <c:pt idx="3">
                  <c:v>372.65218465628607</c:v>
                </c:pt>
                <c:pt idx="4">
                  <c:v>405.43898781753342</c:v>
                </c:pt>
                <c:pt idx="5">
                  <c:v>438.22579097878082</c:v>
                </c:pt>
                <c:pt idx="6">
                  <c:v>471.01259414002817</c:v>
                </c:pt>
                <c:pt idx="7">
                  <c:v>503.79939730127558</c:v>
                </c:pt>
                <c:pt idx="8">
                  <c:v>536.58620046252292</c:v>
                </c:pt>
                <c:pt idx="9">
                  <c:v>569.37300362377027</c:v>
                </c:pt>
                <c:pt idx="10">
                  <c:v>602.15980678501774</c:v>
                </c:pt>
              </c:numCache>
            </c:numRef>
          </c:val>
          <c:smooth val="0"/>
          <c:extLst>
            <c:ext xmlns:c16="http://schemas.microsoft.com/office/drawing/2014/chart" uri="{C3380CC4-5D6E-409C-BE32-E72D297353CC}">
              <c16:uniqueId val="{00000003-3401-4380-97E0-43B2583EE3CA}"/>
            </c:ext>
          </c:extLst>
        </c:ser>
        <c:dLbls>
          <c:showLegendKey val="0"/>
          <c:showVal val="0"/>
          <c:showCatName val="0"/>
          <c:showSerName val="0"/>
          <c:showPercent val="0"/>
          <c:showBubbleSize val="0"/>
        </c:dLbls>
        <c:marker val="1"/>
        <c:smooth val="0"/>
        <c:axId val="223947519"/>
        <c:axId val="223959519"/>
      </c:lineChart>
      <c:catAx>
        <c:axId val="22394751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Annual</a:t>
                </a:r>
                <a:r>
                  <a:rPr lang="en-NZ" baseline="0"/>
                  <a:t> contacts per ESU</a:t>
                </a:r>
                <a:endParaRPr lang="en-NZ"/>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59519"/>
        <c:crosses val="autoZero"/>
        <c:auto val="1"/>
        <c:lblAlgn val="ctr"/>
        <c:lblOffset val="100"/>
        <c:noMultiLvlLbl val="0"/>
      </c:catAx>
      <c:valAx>
        <c:axId val="223959519"/>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Average</a:t>
                </a:r>
                <a:r>
                  <a:rPr lang="en-NZ" baseline="0"/>
                  <a:t> revenue/cost</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47519"/>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Results!$A$78</c:f>
              <c:strCache>
                <c:ptCount val="1"/>
                <c:pt idx="0">
                  <c:v>Status quo</c:v>
                </c:pt>
              </c:strCache>
            </c:strRef>
          </c:tx>
          <c:spPr>
            <a:ln w="28575" cap="rnd">
              <a:solidFill>
                <a:schemeClr val="tx1">
                  <a:lumMod val="50000"/>
                  <a:lumOff val="50000"/>
                </a:schemeClr>
              </a:solidFill>
              <a:prstDash val="sysDot"/>
              <a:round/>
            </a:ln>
            <a:effectLst/>
          </c:spPr>
          <c:marker>
            <c:symbol val="circle"/>
            <c:size val="6"/>
            <c:spPr>
              <a:solidFill>
                <a:schemeClr val="bg1"/>
              </a:solidFill>
              <a:ln w="9525">
                <a:solidFill>
                  <a:schemeClr val="tx1">
                    <a:lumMod val="50000"/>
                    <a:lumOff val="50000"/>
                  </a:schemeClr>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Results!$F$34:$K$34</c:f>
              <c:numCache>
                <c:formatCode>"$"#,##0</c:formatCode>
                <c:ptCount val="6"/>
                <c:pt idx="0">
                  <c:v>1788415.8616526702</c:v>
                </c:pt>
                <c:pt idx="1">
                  <c:v>1788415.8616526702</c:v>
                </c:pt>
                <c:pt idx="2">
                  <c:v>1788415.8616526702</c:v>
                </c:pt>
                <c:pt idx="3">
                  <c:v>1788415.8616526702</c:v>
                </c:pt>
                <c:pt idx="4">
                  <c:v>1788415.8616526702</c:v>
                </c:pt>
                <c:pt idx="5">
                  <c:v>1788415.8616526702</c:v>
                </c:pt>
              </c:numCache>
            </c:numRef>
          </c:val>
          <c:smooth val="0"/>
          <c:extLst>
            <c:ext xmlns:c16="http://schemas.microsoft.com/office/drawing/2014/chart" uri="{C3380CC4-5D6E-409C-BE32-E72D297353CC}">
              <c16:uniqueId val="{00000000-835C-483A-AFC0-54036C8B36D2}"/>
            </c:ext>
          </c:extLst>
        </c:ser>
        <c:ser>
          <c:idx val="16"/>
          <c:order val="1"/>
          <c:tx>
            <c:strRef>
              <c:f>Results!$M$4</c:f>
              <c:strCache>
                <c:ptCount val="1"/>
                <c:pt idx="0">
                  <c:v>Proposal</c:v>
                </c:pt>
              </c:strCache>
            </c:strRef>
          </c:tx>
          <c:spPr>
            <a:ln w="28575" cap="rnd">
              <a:solidFill>
                <a:srgbClr val="522668"/>
              </a:solidFill>
              <a:round/>
            </a:ln>
            <a:effectLst/>
          </c:spPr>
          <c:marker>
            <c:symbol val="circle"/>
            <c:size val="6"/>
            <c:spPr>
              <a:solidFill>
                <a:schemeClr val="bg1"/>
              </a:solidFill>
              <a:ln w="9525">
                <a:solidFill>
                  <a:srgbClr val="522668"/>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Results!$L$34:$Q$34</c:f>
              <c:numCache>
                <c:formatCode>"$"#,##0</c:formatCode>
                <c:ptCount val="6"/>
                <c:pt idx="0">
                  <c:v>1788415.8616526702</c:v>
                </c:pt>
                <c:pt idx="1">
                  <c:v>0</c:v>
                </c:pt>
                <c:pt idx="2">
                  <c:v>0</c:v>
                </c:pt>
                <c:pt idx="3">
                  <c:v>0</c:v>
                </c:pt>
                <c:pt idx="4">
                  <c:v>0</c:v>
                </c:pt>
                <c:pt idx="5">
                  <c:v>0</c:v>
                </c:pt>
              </c:numCache>
            </c:numRef>
          </c:val>
          <c:smooth val="0"/>
          <c:extLst>
            <c:ext xmlns:c16="http://schemas.microsoft.com/office/drawing/2014/chart" uri="{C3380CC4-5D6E-409C-BE32-E72D297353CC}">
              <c16:uniqueId val="{00000001-835C-483A-AFC0-54036C8B36D2}"/>
            </c:ext>
          </c:extLst>
        </c:ser>
        <c:dLbls>
          <c:showLegendKey val="0"/>
          <c:showVal val="0"/>
          <c:showCatName val="0"/>
          <c:showSerName val="0"/>
          <c:showPercent val="0"/>
          <c:showBubbleSize val="0"/>
        </c:dLbls>
        <c:marker val="1"/>
        <c:smooth val="0"/>
        <c:axId val="764708304"/>
        <c:axId val="764705904"/>
      </c:lineChart>
      <c:catAx>
        <c:axId val="7647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5904"/>
        <c:crosses val="autoZero"/>
        <c:auto val="1"/>
        <c:lblAlgn val="ctr"/>
        <c:lblOffset val="100"/>
        <c:noMultiLvlLbl val="0"/>
      </c:catAx>
      <c:valAx>
        <c:axId val="7647059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8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Results!$A$78</c:f>
              <c:strCache>
                <c:ptCount val="1"/>
                <c:pt idx="0">
                  <c:v>Status quo</c:v>
                </c:pt>
              </c:strCache>
            </c:strRef>
          </c:tx>
          <c:spPr>
            <a:ln w="28575" cap="rnd">
              <a:solidFill>
                <a:schemeClr val="tx1">
                  <a:lumMod val="50000"/>
                  <a:lumOff val="50000"/>
                </a:schemeClr>
              </a:solidFill>
              <a:prstDash val="sysDot"/>
              <a:round/>
            </a:ln>
            <a:effectLst/>
          </c:spPr>
          <c:marker>
            <c:symbol val="circle"/>
            <c:size val="6"/>
            <c:spPr>
              <a:solidFill>
                <a:schemeClr val="bg1"/>
              </a:solidFill>
              <a:ln w="9525">
                <a:solidFill>
                  <a:schemeClr val="tx1">
                    <a:lumMod val="50000"/>
                    <a:lumOff val="50000"/>
                  </a:schemeClr>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Results!$F$36:$K$36</c:f>
              <c:numCache>
                <c:formatCode>"$"#,##0</c:formatCode>
                <c:ptCount val="6"/>
                <c:pt idx="0">
                  <c:v>271565.88059624447</c:v>
                </c:pt>
                <c:pt idx="1">
                  <c:v>271565.88059624447</c:v>
                </c:pt>
                <c:pt idx="2">
                  <c:v>271565.88059624447</c:v>
                </c:pt>
                <c:pt idx="3">
                  <c:v>271565.88059624447</c:v>
                </c:pt>
                <c:pt idx="4">
                  <c:v>271565.88059624447</c:v>
                </c:pt>
                <c:pt idx="5">
                  <c:v>271565.88059624447</c:v>
                </c:pt>
              </c:numCache>
            </c:numRef>
          </c:val>
          <c:smooth val="0"/>
          <c:extLst>
            <c:ext xmlns:c16="http://schemas.microsoft.com/office/drawing/2014/chart" uri="{C3380CC4-5D6E-409C-BE32-E72D297353CC}">
              <c16:uniqueId val="{00000000-835C-483A-AFC0-54036C8B36D2}"/>
            </c:ext>
          </c:extLst>
        </c:ser>
        <c:ser>
          <c:idx val="16"/>
          <c:order val="1"/>
          <c:tx>
            <c:strRef>
              <c:f>Results!$M$4</c:f>
              <c:strCache>
                <c:ptCount val="1"/>
                <c:pt idx="0">
                  <c:v>Proposal</c:v>
                </c:pt>
              </c:strCache>
            </c:strRef>
          </c:tx>
          <c:spPr>
            <a:ln w="28575" cap="rnd">
              <a:solidFill>
                <a:srgbClr val="522668"/>
              </a:solidFill>
              <a:round/>
            </a:ln>
            <a:effectLst/>
          </c:spPr>
          <c:marker>
            <c:symbol val="circle"/>
            <c:size val="6"/>
            <c:spPr>
              <a:solidFill>
                <a:schemeClr val="bg1"/>
              </a:solidFill>
              <a:ln w="9525">
                <a:solidFill>
                  <a:srgbClr val="522668"/>
                </a:solidFill>
              </a:ln>
              <a:effectLst/>
            </c:spPr>
          </c:marker>
          <c:cat>
            <c:strRef>
              <c:f>Results!$L$6:$Q$6</c:f>
              <c:strCache>
                <c:ptCount val="6"/>
                <c:pt idx="0">
                  <c:v>Baseline</c:v>
                </c:pt>
                <c:pt idx="1">
                  <c:v>Year 1</c:v>
                </c:pt>
                <c:pt idx="2">
                  <c:v>Year 2</c:v>
                </c:pt>
                <c:pt idx="3">
                  <c:v>Year 3</c:v>
                </c:pt>
                <c:pt idx="4">
                  <c:v>Year 4</c:v>
                </c:pt>
                <c:pt idx="5">
                  <c:v>Year 5</c:v>
                </c:pt>
              </c:strCache>
            </c:strRef>
          </c:cat>
          <c:val>
            <c:numRef>
              <c:f>Results!$L$36:$Q$36</c:f>
              <c:numCache>
                <c:formatCode>"$"#,##0</c:formatCode>
                <c:ptCount val="6"/>
                <c:pt idx="0">
                  <c:v>271565.88059624447</c:v>
                </c:pt>
                <c:pt idx="1">
                  <c:v>0</c:v>
                </c:pt>
                <c:pt idx="2">
                  <c:v>0</c:v>
                </c:pt>
                <c:pt idx="3">
                  <c:v>0</c:v>
                </c:pt>
                <c:pt idx="4">
                  <c:v>0</c:v>
                </c:pt>
                <c:pt idx="5">
                  <c:v>0</c:v>
                </c:pt>
              </c:numCache>
            </c:numRef>
          </c:val>
          <c:smooth val="0"/>
          <c:extLst>
            <c:ext xmlns:c16="http://schemas.microsoft.com/office/drawing/2014/chart" uri="{C3380CC4-5D6E-409C-BE32-E72D297353CC}">
              <c16:uniqueId val="{00000001-835C-483A-AFC0-54036C8B36D2}"/>
            </c:ext>
          </c:extLst>
        </c:ser>
        <c:dLbls>
          <c:showLegendKey val="0"/>
          <c:showVal val="0"/>
          <c:showCatName val="0"/>
          <c:showSerName val="0"/>
          <c:showPercent val="0"/>
          <c:showBubbleSize val="0"/>
        </c:dLbls>
        <c:marker val="1"/>
        <c:smooth val="0"/>
        <c:axId val="764708304"/>
        <c:axId val="764705904"/>
      </c:lineChart>
      <c:catAx>
        <c:axId val="7647083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5904"/>
        <c:crosses val="autoZero"/>
        <c:auto val="1"/>
        <c:lblAlgn val="ctr"/>
        <c:lblOffset val="100"/>
        <c:noMultiLvlLbl val="0"/>
      </c:catAx>
      <c:valAx>
        <c:axId val="7647059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08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'Practice Inputs'!$P$19:$U$19</c:f>
              <c:numCache>
                <c:formatCode>0%</c:formatCode>
                <c:ptCount val="6"/>
                <c:pt idx="0">
                  <c:v>0.20431934161511292</c:v>
                </c:pt>
                <c:pt idx="1">
                  <c:v>0.19561261962998033</c:v>
                </c:pt>
                <c:pt idx="2">
                  <c:v>0.19395262591816842</c:v>
                </c:pt>
                <c:pt idx="3">
                  <c:v>0.19623884001518282</c:v>
                </c:pt>
                <c:pt idx="4">
                  <c:v>0.19745390344373243</c:v>
                </c:pt>
                <c:pt idx="5">
                  <c:v>1.2422669377823164E-2</c:v>
                </c:pt>
              </c:numCache>
            </c:numRef>
          </c:val>
          <c:extLst>
            <c:ext xmlns:c16="http://schemas.microsoft.com/office/drawing/2014/chart" uri="{C3380CC4-5D6E-409C-BE32-E72D297353CC}">
              <c16:uniqueId val="{00000001-707B-3048-BB8B-526D3BFC06A7}"/>
            </c:ext>
          </c:extLst>
        </c:ser>
        <c:dLbls>
          <c:showLegendKey val="0"/>
          <c:showVal val="0"/>
          <c:showCatName val="0"/>
          <c:showSerName val="0"/>
          <c:showPercent val="0"/>
          <c:showBubbleSize val="0"/>
        </c:dLbls>
        <c:gapWidth val="219"/>
        <c:overlap val="-27"/>
        <c:axId val="938809295"/>
        <c:axId val="938816015"/>
      </c:barChart>
      <c:catAx>
        <c:axId val="9388092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816015"/>
        <c:crosses val="autoZero"/>
        <c:auto val="1"/>
        <c:lblAlgn val="ctr"/>
        <c:lblOffset val="100"/>
        <c:noMultiLvlLbl val="0"/>
      </c:catAx>
      <c:valAx>
        <c:axId val="9388160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8092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My practice'!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Urgent unplanned'!A1"/><Relationship Id="rId4" Type="http://schemas.openxmlformats.org/officeDocument/2006/relationships/hyperlink" Target="#bookmark_my_practice_inputs"/></Relationships>
</file>

<file path=xl/drawings/_rels/drawing3.xml.rels><?xml version="1.0" encoding="UTF-8" standalone="yes"?>
<Relationships xmlns="http://schemas.openxmlformats.org/package/2006/relationships"><Relationship Id="rId3" Type="http://schemas.openxmlformats.org/officeDocument/2006/relationships/hyperlink" Target="#bookmark_triage"/><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Proactive preventative'!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Business efficiency'!A1"/><Relationship Id="rId4" Type="http://schemas.openxmlformats.org/officeDocument/2006/relationships/hyperlink" Target="#bookmark_ext_care_team"/></Relationships>
</file>

<file path=xl/drawings/_rels/drawing5.xml.rels><?xml version="1.0" encoding="UTF-8" standalone="yes"?>
<Relationships xmlns="http://schemas.openxmlformats.org/package/2006/relationships"><Relationship Id="rId3" Type="http://schemas.openxmlformats.org/officeDocument/2006/relationships/hyperlink" Target="#bookmark_call_mgmt"/><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Resul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hyperlink" Target="#'My practice'!A1"/><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hyperlink" Target="#'Urgent unplanned'!A16"/><Relationship Id="rId3" Type="http://schemas.openxmlformats.org/officeDocument/2006/relationships/hyperlink" Target="#'Proactive preventative'!A33"/><Relationship Id="rId7" Type="http://schemas.openxmlformats.org/officeDocument/2006/relationships/hyperlink" Target="#'Urgent unplanned'!A26"/><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hyperlink" Target="#'Proactive preventative'!A12"/><Relationship Id="rId5" Type="http://schemas.openxmlformats.org/officeDocument/2006/relationships/hyperlink" Target="#'Proactive preventative'!A51"/><Relationship Id="rId4" Type="http://schemas.openxmlformats.org/officeDocument/2006/relationships/hyperlink" Target="#'Proactive preventative'!A41"/><Relationship Id="rId9" Type="http://schemas.openxmlformats.org/officeDocument/2006/relationships/hyperlink" Target="#'Business efficiency'!A15"/></Relationships>
</file>

<file path=xl/drawings/drawing1.xml><?xml version="1.0" encoding="utf-8"?>
<xdr:wsDr xmlns:xdr="http://schemas.openxmlformats.org/drawingml/2006/spreadsheetDrawing" xmlns:a="http://schemas.openxmlformats.org/drawingml/2006/main">
  <xdr:twoCellAnchor>
    <xdr:from>
      <xdr:col>8</xdr:col>
      <xdr:colOff>525780</xdr:colOff>
      <xdr:row>22</xdr:row>
      <xdr:rowOff>129540</xdr:rowOff>
    </xdr:from>
    <xdr:to>
      <xdr:col>11</xdr:col>
      <xdr:colOff>556260</xdr:colOff>
      <xdr:row>24</xdr:row>
      <xdr:rowOff>68580</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5B59FC25-2575-438A-BF77-C6FCCBA46575}"/>
            </a:ext>
          </a:extLst>
        </xdr:cNvPr>
        <xdr:cNvSpPr/>
      </xdr:nvSpPr>
      <xdr:spPr>
        <a:xfrm>
          <a:off x="6682740" y="3810000"/>
          <a:ext cx="1859280" cy="304800"/>
        </a:xfrm>
        <a:prstGeom prst="roundRect">
          <a:avLst/>
        </a:prstGeom>
        <a:solidFill>
          <a:srgbClr val="522668"/>
        </a:solidFill>
      </xdr:spPr>
      <xdr:style>
        <a:lnRef idx="0">
          <a:schemeClr val="dk1"/>
        </a:lnRef>
        <a:fillRef idx="3">
          <a:schemeClr val="dk1"/>
        </a:fillRef>
        <a:effectRef idx="3">
          <a:schemeClr val="dk1"/>
        </a:effectRef>
        <a:fontRef idx="minor">
          <a:schemeClr val="lt1"/>
        </a:fontRef>
      </xdr:style>
      <xdr:txBody>
        <a:bodyPr vertOverflow="clip" horzOverflow="clip" lIns="72000" rIns="36000" rtlCol="0" anchor="t"/>
        <a:lstStyle/>
        <a:p>
          <a:pPr algn="l"/>
          <a:r>
            <a:rPr lang="en-NZ" sz="1000"/>
            <a:t>Next: About my practice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472440</xdr:colOff>
      <xdr:row>34</xdr:row>
      <xdr:rowOff>45720</xdr:rowOff>
    </xdr:from>
    <xdr:to>
      <xdr:col>13</xdr:col>
      <xdr:colOff>502920</xdr:colOff>
      <xdr:row>35</xdr:row>
      <xdr:rowOff>167640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C962BD9-F692-41A3-904C-53C1B38C39A2}"/>
            </a:ext>
          </a:extLst>
        </xdr:cNvPr>
        <xdr:cNvSpPr/>
      </xdr:nvSpPr>
      <xdr:spPr>
        <a:xfrm>
          <a:off x="6728460" y="6454140"/>
          <a:ext cx="1859280" cy="304800"/>
        </a:xfrm>
        <a:prstGeom prst="roundRect">
          <a:avLst/>
        </a:prstGeom>
        <a:solidFill>
          <a:srgbClr val="522668"/>
        </a:solidFill>
      </xdr:spPr>
      <xdr:style>
        <a:lnRef idx="0">
          <a:schemeClr val="dk1"/>
        </a:lnRef>
        <a:fillRef idx="3">
          <a:schemeClr val="dk1"/>
        </a:fillRef>
        <a:effectRef idx="3">
          <a:schemeClr val="dk1"/>
        </a:effectRef>
        <a:fontRef idx="minor">
          <a:schemeClr val="lt1"/>
        </a:fontRef>
      </xdr:style>
      <xdr:txBody>
        <a:bodyPr vertOverflow="clip" horzOverflow="clip" lIns="72000" rIns="36000" rtlCol="0" anchor="t"/>
        <a:lstStyle/>
        <a:p>
          <a:pPr algn="l"/>
          <a:r>
            <a:rPr lang="en-NZ" sz="1000"/>
            <a:t>Next: Urgent</a:t>
          </a:r>
          <a:r>
            <a:rPr lang="en-NZ" sz="1000" baseline="0"/>
            <a:t> &amp; Unplanned Care</a:t>
          </a:r>
          <a:endParaRPr lang="en-NZ" sz="1000"/>
        </a:p>
      </xdr:txBody>
    </xdr:sp>
    <xdr:clientData/>
  </xdr:twoCellAnchor>
  <xdr:twoCellAnchor>
    <xdr:from>
      <xdr:col>5</xdr:col>
      <xdr:colOff>601980</xdr:colOff>
      <xdr:row>34</xdr:row>
      <xdr:rowOff>99060</xdr:rowOff>
    </xdr:from>
    <xdr:to>
      <xdr:col>10</xdr:col>
      <xdr:colOff>144780</xdr:colOff>
      <xdr:row>35</xdr:row>
      <xdr:rowOff>106680</xdr:rowOff>
    </xdr:to>
    <xdr:grpSp>
      <xdr:nvGrpSpPr>
        <xdr:cNvPr id="11" name="Group 10">
          <a:extLst>
            <a:ext uri="{FF2B5EF4-FFF2-40B4-BE49-F238E27FC236}">
              <a16:creationId xmlns:a16="http://schemas.microsoft.com/office/drawing/2014/main" id="{4679C640-F1E2-168E-336C-D26833DFAADF}"/>
            </a:ext>
          </a:extLst>
        </xdr:cNvPr>
        <xdr:cNvGrpSpPr/>
      </xdr:nvGrpSpPr>
      <xdr:grpSpPr>
        <a:xfrm>
          <a:off x="4116545" y="6595751"/>
          <a:ext cx="2960594" cy="185553"/>
          <a:chOff x="381000" y="3764280"/>
          <a:chExt cx="2590800" cy="190502"/>
        </a:xfrm>
      </xdr:grpSpPr>
      <xdr:pic>
        <xdr:nvPicPr>
          <xdr:cNvPr id="7" name="Graphic 6" descr="Badge Follow outline">
            <a:extLst>
              <a:ext uri="{FF2B5EF4-FFF2-40B4-BE49-F238E27FC236}">
                <a16:creationId xmlns:a16="http://schemas.microsoft.com/office/drawing/2014/main" id="{93460665-841D-F26E-5CE4-A19F730AB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03860" y="3764280"/>
            <a:ext cx="190500" cy="190500"/>
          </a:xfrm>
          <a:prstGeom prst="rect">
            <a:avLst/>
          </a:prstGeom>
        </xdr:spPr>
      </xdr:pic>
      <xdr:sp macro="" textlink="">
        <xdr:nvSpPr>
          <xdr:cNvPr id="10" name="TextBox 9">
            <a:hlinkClick xmlns:r="http://schemas.openxmlformats.org/officeDocument/2006/relationships" r:id="rId4"/>
            <a:extLst>
              <a:ext uri="{FF2B5EF4-FFF2-40B4-BE49-F238E27FC236}">
                <a16:creationId xmlns:a16="http://schemas.microsoft.com/office/drawing/2014/main" id="{40F39D00-E4A1-127D-4255-5E8F53D606FE}"/>
              </a:ext>
            </a:extLst>
          </xdr:cNvPr>
          <xdr:cNvSpPr txBox="1"/>
        </xdr:nvSpPr>
        <xdr:spPr>
          <a:xfrm>
            <a:off x="381000" y="3779521"/>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a:r>
              <a:rPr lang="en-NZ" sz="1100" b="0">
                <a:solidFill>
                  <a:srgbClr val="522668"/>
                </a:solidFill>
              </a:rPr>
              <a:t>View defaults or change detailed inputs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281940</xdr:colOff>
      <xdr:row>50</xdr:row>
      <xdr:rowOff>60963</xdr:rowOff>
    </xdr:from>
    <xdr:to>
      <xdr:col>9</xdr:col>
      <xdr:colOff>487680</xdr:colOff>
      <xdr:row>51</xdr:row>
      <xdr:rowOff>83823</xdr:rowOff>
    </xdr:to>
    <xdr:grpSp>
      <xdr:nvGrpSpPr>
        <xdr:cNvPr id="5" name="Group 4">
          <a:extLst>
            <a:ext uri="{FF2B5EF4-FFF2-40B4-BE49-F238E27FC236}">
              <a16:creationId xmlns:a16="http://schemas.microsoft.com/office/drawing/2014/main" id="{F9484675-4BAF-47D5-AC28-6D5BD982B998}"/>
            </a:ext>
          </a:extLst>
        </xdr:cNvPr>
        <xdr:cNvGrpSpPr/>
      </xdr:nvGrpSpPr>
      <xdr:grpSpPr>
        <a:xfrm>
          <a:off x="4256586" y="10211892"/>
          <a:ext cx="2151562" cy="210638"/>
          <a:chOff x="381000" y="3764280"/>
          <a:chExt cx="1991215" cy="205742"/>
        </a:xfrm>
      </xdr:grpSpPr>
      <xdr:pic>
        <xdr:nvPicPr>
          <xdr:cNvPr id="6" name="Graphic 5" descr="Badge Follow outline">
            <a:extLst>
              <a:ext uri="{FF2B5EF4-FFF2-40B4-BE49-F238E27FC236}">
                <a16:creationId xmlns:a16="http://schemas.microsoft.com/office/drawing/2014/main" id="{2342C73A-A5E5-D475-2B3D-9127974BA1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3860" y="3764280"/>
            <a:ext cx="190500" cy="190500"/>
          </a:xfrm>
          <a:prstGeom prst="rect">
            <a:avLst/>
          </a:prstGeom>
        </xdr:spPr>
      </xdr:pic>
      <xdr:sp macro="" textlink="">
        <xdr:nvSpPr>
          <xdr:cNvPr id="7" name="TextBox 6">
            <a:hlinkClick xmlns:r="http://schemas.openxmlformats.org/officeDocument/2006/relationships" r:id="rId3"/>
            <a:extLst>
              <a:ext uri="{FF2B5EF4-FFF2-40B4-BE49-F238E27FC236}">
                <a16:creationId xmlns:a16="http://schemas.microsoft.com/office/drawing/2014/main" id="{634FBB58-BB84-EBEE-5D25-9AEDADAED25B}"/>
              </a:ext>
            </a:extLst>
          </xdr:cNvPr>
          <xdr:cNvSpPr txBox="1"/>
        </xdr:nvSpPr>
        <xdr:spPr>
          <a:xfrm>
            <a:off x="381000" y="3779525"/>
            <a:ext cx="1991215" cy="190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View defaults</a:t>
            </a:r>
            <a:r>
              <a:rPr lang="en-NZ" sz="1100" b="0" baseline="0">
                <a:solidFill>
                  <a:srgbClr val="522668"/>
                </a:solidFill>
              </a:rPr>
              <a:t> / change </a:t>
            </a:r>
            <a:r>
              <a:rPr lang="en-NZ" sz="1100" b="0">
                <a:solidFill>
                  <a:srgbClr val="522668"/>
                </a:solidFill>
              </a:rPr>
              <a:t>inputs</a:t>
            </a:r>
          </a:p>
        </xdr:txBody>
      </xdr:sp>
    </xdr:grpSp>
    <xdr:clientData/>
  </xdr:twoCellAnchor>
  <xdr:twoCellAnchor>
    <xdr:from>
      <xdr:col>10</xdr:col>
      <xdr:colOff>434340</xdr:colOff>
      <xdr:row>50</xdr:row>
      <xdr:rowOff>0</xdr:rowOff>
    </xdr:from>
    <xdr:to>
      <xdr:col>14</xdr:col>
      <xdr:colOff>15240</xdr:colOff>
      <xdr:row>51</xdr:row>
      <xdr:rowOff>121920</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43178711-8098-4EBA-BD1D-B5D1D3961921}"/>
            </a:ext>
          </a:extLst>
        </xdr:cNvPr>
        <xdr:cNvSpPr/>
      </xdr:nvSpPr>
      <xdr:spPr>
        <a:xfrm>
          <a:off x="6697980" y="11803380"/>
          <a:ext cx="2019300" cy="304800"/>
        </a:xfrm>
        <a:prstGeom prst="roundRect">
          <a:avLst/>
        </a:prstGeom>
        <a:solidFill>
          <a:srgbClr val="522668"/>
        </a:solidFill>
      </xdr:spPr>
      <xdr:style>
        <a:lnRef idx="0">
          <a:schemeClr val="dk1"/>
        </a:lnRef>
        <a:fillRef idx="3">
          <a:schemeClr val="dk1"/>
        </a:fillRef>
        <a:effectRef idx="3">
          <a:schemeClr val="dk1"/>
        </a:effectRef>
        <a:fontRef idx="minor">
          <a:schemeClr val="lt1"/>
        </a:fontRef>
      </xdr:style>
      <xdr:txBody>
        <a:bodyPr vertOverflow="clip" horzOverflow="clip" lIns="72000" rIns="36000" rtlCol="0" anchor="t"/>
        <a:lstStyle/>
        <a:p>
          <a:pPr algn="l"/>
          <a:r>
            <a:rPr lang="en-NZ" sz="1000"/>
            <a:t>Next: Proactive</a:t>
          </a:r>
          <a:r>
            <a:rPr lang="en-NZ" sz="1000" baseline="0"/>
            <a:t> &amp; preventative care</a:t>
          </a:r>
          <a:endParaRPr lang="en-NZ"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81</xdr:row>
      <xdr:rowOff>9525</xdr:rowOff>
    </xdr:from>
    <xdr:to>
      <xdr:col>14</xdr:col>
      <xdr:colOff>209550</xdr:colOff>
      <xdr:row>82</xdr:row>
      <xdr:rowOff>133350</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87D24479-82F1-4F06-9147-806DF7FF8103}"/>
            </a:ext>
          </a:extLst>
        </xdr:cNvPr>
        <xdr:cNvSpPr/>
      </xdr:nvSpPr>
      <xdr:spPr>
        <a:xfrm>
          <a:off x="6819900" y="14382750"/>
          <a:ext cx="2019300" cy="304800"/>
        </a:xfrm>
        <a:prstGeom prst="roundRect">
          <a:avLst/>
        </a:prstGeom>
        <a:solidFill>
          <a:srgbClr val="522668"/>
        </a:solidFill>
      </xdr:spPr>
      <xdr:style>
        <a:lnRef idx="0">
          <a:schemeClr val="dk1"/>
        </a:lnRef>
        <a:fillRef idx="3">
          <a:schemeClr val="dk1"/>
        </a:fillRef>
        <a:effectRef idx="3">
          <a:schemeClr val="dk1"/>
        </a:effectRef>
        <a:fontRef idx="minor">
          <a:schemeClr val="lt1"/>
        </a:fontRef>
      </xdr:style>
      <xdr:txBody>
        <a:bodyPr vertOverflow="clip" horzOverflow="clip" lIns="72000" rIns="36000" rtlCol="0" anchor="t"/>
        <a:lstStyle/>
        <a:p>
          <a:pPr algn="l"/>
          <a:r>
            <a:rPr lang="en-NZ" sz="1000"/>
            <a:t>Next</a:t>
          </a:r>
          <a:r>
            <a:rPr lang="en-NZ" sz="1000" baseline="0"/>
            <a:t>: Business Efficiency</a:t>
          </a:r>
          <a:endParaRPr lang="en-NZ" sz="1000"/>
        </a:p>
      </xdr:txBody>
    </xdr:sp>
    <xdr:clientData/>
  </xdr:twoCellAnchor>
  <xdr:twoCellAnchor>
    <xdr:from>
      <xdr:col>6</xdr:col>
      <xdr:colOff>579120</xdr:colOff>
      <xdr:row>81</xdr:row>
      <xdr:rowOff>68583</xdr:rowOff>
    </xdr:from>
    <xdr:to>
      <xdr:col>10</xdr:col>
      <xdr:colOff>160020</xdr:colOff>
      <xdr:row>82</xdr:row>
      <xdr:rowOff>91443</xdr:rowOff>
    </xdr:to>
    <xdr:grpSp>
      <xdr:nvGrpSpPr>
        <xdr:cNvPr id="17" name="Group 16">
          <a:extLst>
            <a:ext uri="{FF2B5EF4-FFF2-40B4-BE49-F238E27FC236}">
              <a16:creationId xmlns:a16="http://schemas.microsoft.com/office/drawing/2014/main" id="{061F98E9-58B2-439B-BA97-985CB2D5B281}"/>
            </a:ext>
          </a:extLst>
        </xdr:cNvPr>
        <xdr:cNvGrpSpPr/>
      </xdr:nvGrpSpPr>
      <xdr:grpSpPr>
        <a:xfrm>
          <a:off x="4602752" y="17647651"/>
          <a:ext cx="2219325" cy="210638"/>
          <a:chOff x="381000" y="3764280"/>
          <a:chExt cx="2045368" cy="205742"/>
        </a:xfrm>
      </xdr:grpSpPr>
      <xdr:pic>
        <xdr:nvPicPr>
          <xdr:cNvPr id="18" name="Graphic 17" descr="Badge Follow outline">
            <a:extLst>
              <a:ext uri="{FF2B5EF4-FFF2-40B4-BE49-F238E27FC236}">
                <a16:creationId xmlns:a16="http://schemas.microsoft.com/office/drawing/2014/main" id="{FAB4045B-C87F-5B42-6EC4-8194C1BB0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03860" y="3764280"/>
            <a:ext cx="190500" cy="190500"/>
          </a:xfrm>
          <a:prstGeom prst="rect">
            <a:avLst/>
          </a:prstGeom>
        </xdr:spPr>
      </xdr:pic>
      <xdr:sp macro="" textlink="">
        <xdr:nvSpPr>
          <xdr:cNvPr id="19" name="TextBox 18">
            <a:hlinkClick xmlns:r="http://schemas.openxmlformats.org/officeDocument/2006/relationships" r:id="rId4"/>
            <a:extLst>
              <a:ext uri="{FF2B5EF4-FFF2-40B4-BE49-F238E27FC236}">
                <a16:creationId xmlns:a16="http://schemas.microsoft.com/office/drawing/2014/main" id="{8B26978C-8CEB-8F1A-2F37-02B8B7E79BFE}"/>
              </a:ext>
            </a:extLst>
          </xdr:cNvPr>
          <xdr:cNvSpPr txBox="1"/>
        </xdr:nvSpPr>
        <xdr:spPr>
          <a:xfrm>
            <a:off x="381000" y="3779521"/>
            <a:ext cx="204536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View defaults</a:t>
            </a:r>
            <a:r>
              <a:rPr lang="en-NZ" sz="1100" b="0" baseline="0">
                <a:solidFill>
                  <a:srgbClr val="522668"/>
                </a:solidFill>
              </a:rPr>
              <a:t> / change i</a:t>
            </a:r>
            <a:r>
              <a:rPr lang="en-NZ" sz="1100" b="0">
                <a:solidFill>
                  <a:srgbClr val="522668"/>
                </a:solidFill>
              </a:rPr>
              <a:t>nputs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579120</xdr:colOff>
      <xdr:row>61</xdr:row>
      <xdr:rowOff>91440</xdr:rowOff>
    </xdr:from>
    <xdr:to>
      <xdr:col>12</xdr:col>
      <xdr:colOff>99058</xdr:colOff>
      <xdr:row>62</xdr:row>
      <xdr:rowOff>99060</xdr:rowOff>
    </xdr:to>
    <xdr:grpSp>
      <xdr:nvGrpSpPr>
        <xdr:cNvPr id="2" name="Group 19">
          <a:extLst>
            <a:ext uri="{FF2B5EF4-FFF2-40B4-BE49-F238E27FC236}">
              <a16:creationId xmlns:a16="http://schemas.microsoft.com/office/drawing/2014/main" id="{0F856AAF-549B-4137-AD20-437F2BEE8331}"/>
            </a:ext>
          </a:extLst>
        </xdr:cNvPr>
        <xdr:cNvGrpSpPr/>
      </xdr:nvGrpSpPr>
      <xdr:grpSpPr>
        <a:xfrm>
          <a:off x="5231402" y="12324261"/>
          <a:ext cx="2799260" cy="183153"/>
          <a:chOff x="381000" y="3764280"/>
          <a:chExt cx="2590800" cy="190502"/>
        </a:xfrm>
      </xdr:grpSpPr>
      <xdr:pic>
        <xdr:nvPicPr>
          <xdr:cNvPr id="3" name="Graphic 20" descr="Badge Follow outline">
            <a:extLst>
              <a:ext uri="{FF2B5EF4-FFF2-40B4-BE49-F238E27FC236}">
                <a16:creationId xmlns:a16="http://schemas.microsoft.com/office/drawing/2014/main" id="{DD4E4D93-82FA-1671-A75D-3977ADD6D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3860" y="3764280"/>
            <a:ext cx="190500" cy="190500"/>
          </a:xfrm>
          <a:prstGeom prst="rect">
            <a:avLst/>
          </a:prstGeom>
        </xdr:spPr>
      </xdr:pic>
      <xdr:sp macro="" textlink="">
        <xdr:nvSpPr>
          <xdr:cNvPr id="4" name="TextBox 21">
            <a:hlinkClick xmlns:r="http://schemas.openxmlformats.org/officeDocument/2006/relationships" r:id="rId3"/>
            <a:extLst>
              <a:ext uri="{FF2B5EF4-FFF2-40B4-BE49-F238E27FC236}">
                <a16:creationId xmlns:a16="http://schemas.microsoft.com/office/drawing/2014/main" id="{FFF9E869-4674-8726-B708-170F0F3514DB}"/>
              </a:ext>
            </a:extLst>
          </xdr:cNvPr>
          <xdr:cNvSpPr txBox="1"/>
        </xdr:nvSpPr>
        <xdr:spPr>
          <a:xfrm>
            <a:off x="381000" y="3779521"/>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View defaults</a:t>
            </a:r>
            <a:r>
              <a:rPr lang="en-NZ" sz="1100" b="0" baseline="0">
                <a:solidFill>
                  <a:srgbClr val="522668"/>
                </a:solidFill>
              </a:rPr>
              <a:t> / change i</a:t>
            </a:r>
            <a:r>
              <a:rPr lang="en-NZ" sz="1100" b="0">
                <a:solidFill>
                  <a:srgbClr val="522668"/>
                </a:solidFill>
              </a:rPr>
              <a:t>nputs</a:t>
            </a:r>
          </a:p>
        </xdr:txBody>
      </xdr:sp>
    </xdr:grpSp>
    <xdr:clientData/>
  </xdr:twoCellAnchor>
  <xdr:twoCellAnchor>
    <xdr:from>
      <xdr:col>11</xdr:col>
      <xdr:colOff>386080</xdr:colOff>
      <xdr:row>61</xdr:row>
      <xdr:rowOff>50800</xdr:rowOff>
    </xdr:from>
    <xdr:to>
      <xdr:col>14</xdr:col>
      <xdr:colOff>576580</xdr:colOff>
      <xdr:row>62</xdr:row>
      <xdr:rowOff>174625</xdr:rowOff>
    </xdr:to>
    <xdr:sp macro="" textlink="">
      <xdr:nvSpPr>
        <xdr:cNvPr id="23" name="Rectangle: Rounded Corners 22">
          <a:hlinkClick xmlns:r="http://schemas.openxmlformats.org/officeDocument/2006/relationships" r:id="rId4"/>
          <a:extLst>
            <a:ext uri="{FF2B5EF4-FFF2-40B4-BE49-F238E27FC236}">
              <a16:creationId xmlns:a16="http://schemas.microsoft.com/office/drawing/2014/main" id="{49D6B51C-28F4-41D5-A87D-421CF7C207C2}"/>
            </a:ext>
          </a:extLst>
        </xdr:cNvPr>
        <xdr:cNvSpPr/>
      </xdr:nvSpPr>
      <xdr:spPr>
        <a:xfrm>
          <a:off x="8310880" y="14610080"/>
          <a:ext cx="2019300" cy="306705"/>
        </a:xfrm>
        <a:prstGeom prst="roundRect">
          <a:avLst/>
        </a:prstGeom>
        <a:solidFill>
          <a:srgbClr val="522668"/>
        </a:solidFill>
      </xdr:spPr>
      <xdr:style>
        <a:lnRef idx="0">
          <a:schemeClr val="dk1"/>
        </a:lnRef>
        <a:fillRef idx="3">
          <a:schemeClr val="dk1"/>
        </a:fillRef>
        <a:effectRef idx="3">
          <a:schemeClr val="dk1"/>
        </a:effectRef>
        <a:fontRef idx="minor">
          <a:schemeClr val="lt1"/>
        </a:fontRef>
      </xdr:style>
      <xdr:txBody>
        <a:bodyPr vertOverflow="clip" horzOverflow="clip" lIns="72000" rIns="36000" rtlCol="0" anchor="t"/>
        <a:lstStyle/>
        <a:p>
          <a:pPr algn="l"/>
          <a:r>
            <a:rPr lang="en-NZ" sz="1000"/>
            <a:t>Next</a:t>
          </a:r>
          <a:r>
            <a:rPr lang="en-NZ" sz="1000" baseline="0"/>
            <a:t>: Results</a:t>
          </a:r>
          <a:endParaRPr lang="en-NZ"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43480</xdr:colOff>
      <xdr:row>21</xdr:row>
      <xdr:rowOff>3810</xdr:rowOff>
    </xdr:from>
    <xdr:to>
      <xdr:col>25</xdr:col>
      <xdr:colOff>96280</xdr:colOff>
      <xdr:row>34</xdr:row>
      <xdr:rowOff>146370</xdr:rowOff>
    </xdr:to>
    <xdr:graphicFrame macro="">
      <xdr:nvGraphicFramePr>
        <xdr:cNvPr id="2" name="Chart 1">
          <a:extLst>
            <a:ext uri="{FF2B5EF4-FFF2-40B4-BE49-F238E27FC236}">
              <a16:creationId xmlns:a16="http://schemas.microsoft.com/office/drawing/2014/main" id="{30A5C520-DFE3-324C-66DE-0B8C31C60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43480</xdr:colOff>
      <xdr:row>5</xdr:row>
      <xdr:rowOff>0</xdr:rowOff>
    </xdr:from>
    <xdr:to>
      <xdr:col>25</xdr:col>
      <xdr:colOff>96280</xdr:colOff>
      <xdr:row>18</xdr:row>
      <xdr:rowOff>142560</xdr:rowOff>
    </xdr:to>
    <xdr:graphicFrame macro="">
      <xdr:nvGraphicFramePr>
        <xdr:cNvPr id="5" name="Chart 4">
          <a:extLst>
            <a:ext uri="{FF2B5EF4-FFF2-40B4-BE49-F238E27FC236}">
              <a16:creationId xmlns:a16="http://schemas.microsoft.com/office/drawing/2014/main" id="{127BC6D9-BC47-489E-BE96-B292D6A34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50</xdr:row>
      <xdr:rowOff>140970</xdr:rowOff>
    </xdr:from>
    <xdr:to>
      <xdr:col>10</xdr:col>
      <xdr:colOff>708660</xdr:colOff>
      <xdr:row>64</xdr:row>
      <xdr:rowOff>144780</xdr:rowOff>
    </xdr:to>
    <xdr:graphicFrame macro="">
      <xdr:nvGraphicFramePr>
        <xdr:cNvPr id="16" name="Chart 6">
          <a:extLst>
            <a:ext uri="{FF2B5EF4-FFF2-40B4-BE49-F238E27FC236}">
              <a16:creationId xmlns:a16="http://schemas.microsoft.com/office/drawing/2014/main" id="{CD94A1BF-8DF2-463F-831E-8ED8089F9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45720</xdr:colOff>
      <xdr:row>50</xdr:row>
      <xdr:rowOff>167640</xdr:rowOff>
    </xdr:from>
    <xdr:to>
      <xdr:col>16</xdr:col>
      <xdr:colOff>647700</xdr:colOff>
      <xdr:row>64</xdr:row>
      <xdr:rowOff>167640</xdr:rowOff>
    </xdr:to>
    <xdr:graphicFrame macro="">
      <xdr:nvGraphicFramePr>
        <xdr:cNvPr id="20" name="Chart 7">
          <a:extLst>
            <a:ext uri="{FF2B5EF4-FFF2-40B4-BE49-F238E27FC236}">
              <a16:creationId xmlns:a16="http://schemas.microsoft.com/office/drawing/2014/main" id="{49DFB4B9-DC4C-423A-8D93-A08C2E343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36310</xdr:colOff>
      <xdr:row>37</xdr:row>
      <xdr:rowOff>45720</xdr:rowOff>
    </xdr:from>
    <xdr:to>
      <xdr:col>25</xdr:col>
      <xdr:colOff>89110</xdr:colOff>
      <xdr:row>50</xdr:row>
      <xdr:rowOff>127320</xdr:rowOff>
    </xdr:to>
    <xdr:graphicFrame macro="">
      <xdr:nvGraphicFramePr>
        <xdr:cNvPr id="11" name="Chart 10">
          <a:extLst>
            <a:ext uri="{FF2B5EF4-FFF2-40B4-BE49-F238E27FC236}">
              <a16:creationId xmlns:a16="http://schemas.microsoft.com/office/drawing/2014/main" id="{02BCD06E-78E9-447F-951D-9580EDBFF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44825</xdr:colOff>
      <xdr:row>53</xdr:row>
      <xdr:rowOff>0</xdr:rowOff>
    </xdr:from>
    <xdr:to>
      <xdr:col>25</xdr:col>
      <xdr:colOff>97625</xdr:colOff>
      <xdr:row>66</xdr:row>
      <xdr:rowOff>51120</xdr:rowOff>
    </xdr:to>
    <xdr:graphicFrame macro="">
      <xdr:nvGraphicFramePr>
        <xdr:cNvPr id="12" name="Chart 11">
          <a:extLst>
            <a:ext uri="{FF2B5EF4-FFF2-40B4-BE49-F238E27FC236}">
              <a16:creationId xmlns:a16="http://schemas.microsoft.com/office/drawing/2014/main" id="{E57C0EB1-0F69-4FCF-ACFC-CED90F91C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434340</xdr:colOff>
      <xdr:row>164</xdr:row>
      <xdr:rowOff>83820</xdr:rowOff>
    </xdr:from>
    <xdr:to>
      <xdr:col>5</xdr:col>
      <xdr:colOff>518161</xdr:colOff>
      <xdr:row>165</xdr:row>
      <xdr:rowOff>91444</xdr:rowOff>
    </xdr:to>
    <xdr:grpSp>
      <xdr:nvGrpSpPr>
        <xdr:cNvPr id="639" name="Group 2">
          <a:extLst>
            <a:ext uri="{FF2B5EF4-FFF2-40B4-BE49-F238E27FC236}">
              <a16:creationId xmlns:a16="http://schemas.microsoft.com/office/drawing/2014/main" id="{C75F8763-F0BC-43EC-BA2A-DE135C19A95E}"/>
            </a:ext>
          </a:extLst>
        </xdr:cNvPr>
        <xdr:cNvGrpSpPr/>
      </xdr:nvGrpSpPr>
      <xdr:grpSpPr>
        <a:xfrm>
          <a:off x="4403943" y="31229049"/>
          <a:ext cx="2734173" cy="185557"/>
          <a:chOff x="736308" y="3764280"/>
          <a:chExt cx="2590800" cy="190506"/>
        </a:xfrm>
      </xdr:grpSpPr>
      <xdr:pic>
        <xdr:nvPicPr>
          <xdr:cNvPr id="640" name="Graphic 3" descr="Back with solid fill">
            <a:extLst>
              <a:ext uri="{FF2B5EF4-FFF2-40B4-BE49-F238E27FC236}">
                <a16:creationId xmlns:a16="http://schemas.microsoft.com/office/drawing/2014/main" id="{C3313A69-9182-81EC-B6EF-97381F85F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641" name="TextBox 4">
            <a:hlinkClick xmlns:r="http://schemas.openxmlformats.org/officeDocument/2006/relationships" r:id="rId3"/>
            <a:extLst>
              <a:ext uri="{FF2B5EF4-FFF2-40B4-BE49-F238E27FC236}">
                <a16:creationId xmlns:a16="http://schemas.microsoft.com/office/drawing/2014/main" id="{C0C431FC-C508-EC4D-BCBE-49DE583BE0EF}"/>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My Practice</a:t>
            </a:r>
          </a:p>
        </xdr:txBody>
      </xdr:sp>
    </xdr:grpSp>
    <xdr:clientData/>
  </xdr:twoCellAnchor>
  <xdr:twoCellAnchor>
    <xdr:from>
      <xdr:col>24</xdr:col>
      <xdr:colOff>228600</xdr:colOff>
      <xdr:row>9</xdr:row>
      <xdr:rowOff>171450</xdr:rowOff>
    </xdr:from>
    <xdr:to>
      <xdr:col>30</xdr:col>
      <xdr:colOff>19050</xdr:colOff>
      <xdr:row>20</xdr:row>
      <xdr:rowOff>146050</xdr:rowOff>
    </xdr:to>
    <xdr:graphicFrame macro="">
      <xdr:nvGraphicFramePr>
        <xdr:cNvPr id="3" name="Chart 2">
          <a:extLst>
            <a:ext uri="{FF2B5EF4-FFF2-40B4-BE49-F238E27FC236}">
              <a16:creationId xmlns:a16="http://schemas.microsoft.com/office/drawing/2014/main" id="{704E5728-FE78-0561-004A-D5800BCC8187}"/>
            </a:ext>
            <a:ext uri="{147F2762-F138-4A5C-976F-8EAC2B608ADB}">
              <a16:predDERef xmlns:a16="http://schemas.microsoft.com/office/drawing/2014/main" pred="{C75F8763-F0BC-43EC-BA2A-DE135C19A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144780</xdr:colOff>
      <xdr:row>40</xdr:row>
      <xdr:rowOff>22860</xdr:rowOff>
    </xdr:from>
    <xdr:to>
      <xdr:col>5</xdr:col>
      <xdr:colOff>739140</xdr:colOff>
      <xdr:row>41</xdr:row>
      <xdr:rowOff>19980</xdr:rowOff>
    </xdr:to>
    <xdr:sp macro="" textlink="$C$62">
      <xdr:nvSpPr>
        <xdr:cNvPr id="30" name="Flowchart: Terminator 1">
          <a:extLst>
            <a:ext uri="{FF2B5EF4-FFF2-40B4-BE49-F238E27FC236}">
              <a16:creationId xmlns:a16="http://schemas.microsoft.com/office/drawing/2014/main" id="{6693BE54-3A04-4266-B2E9-CB0B12AAFE27}"/>
            </a:ext>
          </a:extLst>
        </xdr:cNvPr>
        <xdr:cNvSpPr/>
      </xdr:nvSpPr>
      <xdr:spPr>
        <a:xfrm>
          <a:off x="3200400" y="16123920"/>
          <a:ext cx="594360" cy="18000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DB9CC174-3842-400B-8E41-646615D2C300}" type="TxLink">
            <a:rPr lang="en-US" sz="900" b="0" i="0" u="none" strike="noStrike">
              <a:solidFill>
                <a:schemeClr val="bg1"/>
              </a:solidFill>
              <a:latin typeface="Calibri"/>
              <a:ea typeface="Calibri"/>
              <a:cs typeface="Calibri"/>
            </a:rPr>
            <a:pPr marL="0" indent="0" algn="ctr"/>
            <a:t>6,167</a:t>
          </a:fld>
          <a:endParaRPr lang="en-NZ" sz="900" b="0" i="0" u="none" strike="noStrike">
            <a:solidFill>
              <a:schemeClr val="bg1"/>
            </a:solidFill>
            <a:latin typeface="Calibri"/>
            <a:ea typeface="Calibri"/>
            <a:cs typeface="Calibri"/>
          </a:endParaRPr>
        </a:p>
      </xdr:txBody>
    </xdr:sp>
    <xdr:clientData/>
  </xdr:twoCellAnchor>
  <xdr:twoCellAnchor>
    <xdr:from>
      <xdr:col>5</xdr:col>
      <xdr:colOff>739140</xdr:colOff>
      <xdr:row>37</xdr:row>
      <xdr:rowOff>95250</xdr:rowOff>
    </xdr:from>
    <xdr:to>
      <xdr:col>8</xdr:col>
      <xdr:colOff>0</xdr:colOff>
      <xdr:row>40</xdr:row>
      <xdr:rowOff>112860</xdr:rowOff>
    </xdr:to>
    <xdr:cxnSp macro="">
      <xdr:nvCxnSpPr>
        <xdr:cNvPr id="49" name="Straight Arrow Connector 2">
          <a:extLst>
            <a:ext uri="{FF2B5EF4-FFF2-40B4-BE49-F238E27FC236}">
              <a16:creationId xmlns:a16="http://schemas.microsoft.com/office/drawing/2014/main" id="{11A7AFA5-3466-465F-8F24-25C73460A267}"/>
            </a:ext>
          </a:extLst>
        </xdr:cNvPr>
        <xdr:cNvCxnSpPr>
          <a:stCxn id="30" idx="3"/>
          <a:endCxn id="33" idx="1"/>
        </xdr:cNvCxnSpPr>
      </xdr:nvCxnSpPr>
      <xdr:spPr>
        <a:xfrm flipV="1">
          <a:off x="3794760" y="15647670"/>
          <a:ext cx="1844040" cy="56625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739140</xdr:colOff>
      <xdr:row>40</xdr:row>
      <xdr:rowOff>102870</xdr:rowOff>
    </xdr:from>
    <xdr:to>
      <xdr:col>8</xdr:col>
      <xdr:colOff>15240</xdr:colOff>
      <xdr:row>40</xdr:row>
      <xdr:rowOff>112860</xdr:rowOff>
    </xdr:to>
    <xdr:cxnSp macro="">
      <xdr:nvCxnSpPr>
        <xdr:cNvPr id="50" name="Straight Arrow Connector 4">
          <a:extLst>
            <a:ext uri="{FF2B5EF4-FFF2-40B4-BE49-F238E27FC236}">
              <a16:creationId xmlns:a16="http://schemas.microsoft.com/office/drawing/2014/main" id="{B660FD5B-897D-4573-9DEE-2997D8D298DA}"/>
            </a:ext>
          </a:extLst>
        </xdr:cNvPr>
        <xdr:cNvCxnSpPr>
          <a:stCxn id="30" idx="3"/>
          <a:endCxn id="39" idx="1"/>
        </xdr:cNvCxnSpPr>
      </xdr:nvCxnSpPr>
      <xdr:spPr>
        <a:xfrm flipV="1">
          <a:off x="3794760" y="16203930"/>
          <a:ext cx="1859280" cy="999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37</xdr:row>
      <xdr:rowOff>7620</xdr:rowOff>
    </xdr:from>
    <xdr:to>
      <xdr:col>9</xdr:col>
      <xdr:colOff>0</xdr:colOff>
      <xdr:row>38</xdr:row>
      <xdr:rowOff>0</xdr:rowOff>
    </xdr:to>
    <xdr:sp macro="" textlink="$I$38">
      <xdr:nvSpPr>
        <xdr:cNvPr id="33" name="Rectangle 6">
          <a:extLst>
            <a:ext uri="{FF2B5EF4-FFF2-40B4-BE49-F238E27FC236}">
              <a16:creationId xmlns:a16="http://schemas.microsoft.com/office/drawing/2014/main" id="{1A9C2DC7-3C36-4560-93AF-C39C01557A0F}"/>
            </a:ext>
          </a:extLst>
        </xdr:cNvPr>
        <xdr:cNvSpPr/>
      </xdr:nvSpPr>
      <xdr:spPr>
        <a:xfrm>
          <a:off x="3055620" y="15560040"/>
          <a:ext cx="861060" cy="175260"/>
        </a:xfrm>
        <a:prstGeom prst="rect">
          <a:avLst/>
        </a:prstGeom>
        <a:no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BCA802EA-32B0-4727-95BB-01FD3B4F8B9D}" type="TxLink">
            <a:rPr lang="en-US" sz="900" b="0" i="0" u="none" strike="noStrike">
              <a:solidFill>
                <a:sysClr val="windowText" lastClr="000000"/>
              </a:solidFill>
              <a:latin typeface="Calibri"/>
              <a:ea typeface="Calibri"/>
              <a:cs typeface="Calibri"/>
            </a:rPr>
            <a:pPr marL="0" indent="0" algn="ctr"/>
            <a:t>1,603</a:t>
          </a:fld>
          <a:endParaRPr lang="en-NZ" sz="900" b="0" i="0" u="none" strike="noStrike">
            <a:solidFill>
              <a:sysClr val="windowText" lastClr="000000"/>
            </a:solidFill>
            <a:latin typeface="Calibri"/>
            <a:ea typeface="Calibri"/>
            <a:cs typeface="Calibri"/>
          </a:endParaRPr>
        </a:p>
      </xdr:txBody>
    </xdr:sp>
    <xdr:clientData/>
  </xdr:twoCellAnchor>
  <xdr:twoCellAnchor>
    <xdr:from>
      <xdr:col>11</xdr:col>
      <xdr:colOff>0</xdr:colOff>
      <xdr:row>34</xdr:row>
      <xdr:rowOff>7620</xdr:rowOff>
    </xdr:from>
    <xdr:to>
      <xdr:col>11</xdr:col>
      <xdr:colOff>594360</xdr:colOff>
      <xdr:row>35</xdr:row>
      <xdr:rowOff>4740</xdr:rowOff>
    </xdr:to>
    <xdr:sp macro="" textlink="$C$67">
      <xdr:nvSpPr>
        <xdr:cNvPr id="34" name="Flowchart: Terminator 7">
          <a:extLst>
            <a:ext uri="{FF2B5EF4-FFF2-40B4-BE49-F238E27FC236}">
              <a16:creationId xmlns:a16="http://schemas.microsoft.com/office/drawing/2014/main" id="{270D18AB-A593-4B5F-BA79-FD5583CAAEA2}"/>
            </a:ext>
          </a:extLst>
        </xdr:cNvPr>
        <xdr:cNvSpPr/>
      </xdr:nvSpPr>
      <xdr:spPr>
        <a:xfrm>
          <a:off x="5638800" y="15011400"/>
          <a:ext cx="594360" cy="18000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21061974-853E-4A3E-A650-BA42B931EB6D}" type="TxLink">
            <a:rPr lang="en-US" sz="900" b="0" i="0" u="none" strike="noStrike">
              <a:solidFill>
                <a:schemeClr val="bg1"/>
              </a:solidFill>
              <a:latin typeface="Calibri"/>
              <a:ea typeface="Calibri"/>
              <a:cs typeface="Calibri"/>
            </a:rPr>
            <a:pPr marL="0" indent="0" algn="ctr"/>
            <a:t>1,555</a:t>
          </a:fld>
          <a:endParaRPr lang="en-NZ" sz="900" b="0" i="0" u="none" strike="noStrike">
            <a:solidFill>
              <a:schemeClr val="bg1"/>
            </a:solidFill>
            <a:latin typeface="Calibri"/>
            <a:ea typeface="Calibri"/>
            <a:cs typeface="Calibri"/>
          </a:endParaRPr>
        </a:p>
      </xdr:txBody>
    </xdr:sp>
    <xdr:clientData/>
  </xdr:twoCellAnchor>
  <xdr:twoCellAnchor>
    <xdr:from>
      <xdr:col>10</xdr:col>
      <xdr:colOff>853440</xdr:colOff>
      <xdr:row>37</xdr:row>
      <xdr:rowOff>15240</xdr:rowOff>
    </xdr:from>
    <xdr:to>
      <xdr:col>11</xdr:col>
      <xdr:colOff>586740</xdr:colOff>
      <xdr:row>38</xdr:row>
      <xdr:rowOff>12360</xdr:rowOff>
    </xdr:to>
    <xdr:sp macro="" textlink="$C$66">
      <xdr:nvSpPr>
        <xdr:cNvPr id="35" name="Flowchart: Terminator 8">
          <a:extLst>
            <a:ext uri="{FF2B5EF4-FFF2-40B4-BE49-F238E27FC236}">
              <a16:creationId xmlns:a16="http://schemas.microsoft.com/office/drawing/2014/main" id="{FCF41388-537C-4342-9352-1F9131653588}"/>
            </a:ext>
          </a:extLst>
        </xdr:cNvPr>
        <xdr:cNvSpPr/>
      </xdr:nvSpPr>
      <xdr:spPr>
        <a:xfrm>
          <a:off x="5631180" y="15567660"/>
          <a:ext cx="594360" cy="18000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0098BEEE-6F96-4031-960A-CFA22207E686}" type="TxLink">
            <a:rPr lang="en-US" sz="900" b="0" i="0" u="none" strike="noStrike">
              <a:solidFill>
                <a:schemeClr val="bg1"/>
              </a:solidFill>
              <a:latin typeface="Calibri"/>
              <a:ea typeface="Calibri"/>
              <a:cs typeface="Calibri"/>
            </a:rPr>
            <a:pPr marL="0" indent="0" algn="ctr"/>
            <a:t>48</a:t>
          </a:fld>
          <a:endParaRPr lang="en-NZ" sz="900" b="0" i="0" u="none" strike="noStrike">
            <a:solidFill>
              <a:schemeClr val="bg1"/>
            </a:solidFill>
            <a:latin typeface="Calibri"/>
            <a:ea typeface="Calibri"/>
            <a:cs typeface="Calibri"/>
          </a:endParaRPr>
        </a:p>
      </xdr:txBody>
    </xdr:sp>
    <xdr:clientData/>
  </xdr:twoCellAnchor>
  <xdr:twoCellAnchor>
    <xdr:from>
      <xdr:col>11</xdr:col>
      <xdr:colOff>7620</xdr:colOff>
      <xdr:row>42</xdr:row>
      <xdr:rowOff>15240</xdr:rowOff>
    </xdr:from>
    <xdr:to>
      <xdr:col>11</xdr:col>
      <xdr:colOff>601980</xdr:colOff>
      <xdr:row>43</xdr:row>
      <xdr:rowOff>12360</xdr:rowOff>
    </xdr:to>
    <xdr:sp macro="" textlink="$C$69">
      <xdr:nvSpPr>
        <xdr:cNvPr id="38" name="Flowchart: Terminator 11">
          <a:extLst>
            <a:ext uri="{FF2B5EF4-FFF2-40B4-BE49-F238E27FC236}">
              <a16:creationId xmlns:a16="http://schemas.microsoft.com/office/drawing/2014/main" id="{2BB83E11-6B58-4886-8FC9-A7796A1AED60}"/>
            </a:ext>
          </a:extLst>
        </xdr:cNvPr>
        <xdr:cNvSpPr/>
      </xdr:nvSpPr>
      <xdr:spPr>
        <a:xfrm>
          <a:off x="5646420" y="16482060"/>
          <a:ext cx="594360" cy="18000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CF4E78AD-4670-4309-8CB1-03B69968302F}" type="TxLink">
            <a:rPr lang="en-US" sz="900" b="0" i="0" u="none" strike="noStrike">
              <a:solidFill>
                <a:schemeClr val="bg1"/>
              </a:solidFill>
              <a:latin typeface="Calibri"/>
              <a:ea typeface="Calibri"/>
              <a:cs typeface="Calibri"/>
            </a:rPr>
            <a:pPr marL="0" indent="0" algn="ctr"/>
            <a:t>426</a:t>
          </a:fld>
          <a:endParaRPr lang="en-NZ" sz="900" b="0" i="0" u="none" strike="noStrike">
            <a:solidFill>
              <a:schemeClr val="bg1"/>
            </a:solidFill>
            <a:latin typeface="Calibri"/>
            <a:ea typeface="Calibri"/>
            <a:cs typeface="Calibri"/>
          </a:endParaRPr>
        </a:p>
      </xdr:txBody>
    </xdr:sp>
    <xdr:clientData/>
  </xdr:twoCellAnchor>
  <xdr:twoCellAnchor>
    <xdr:from>
      <xdr:col>8</xdr:col>
      <xdr:colOff>15240</xdr:colOff>
      <xdr:row>40</xdr:row>
      <xdr:rowOff>15240</xdr:rowOff>
    </xdr:from>
    <xdr:to>
      <xdr:col>9</xdr:col>
      <xdr:colOff>15240</xdr:colOff>
      <xdr:row>41</xdr:row>
      <xdr:rowOff>7620</xdr:rowOff>
    </xdr:to>
    <xdr:sp macro="" textlink="$I$44">
      <xdr:nvSpPr>
        <xdr:cNvPr id="39" name="Rectangle 12">
          <a:extLst>
            <a:ext uri="{FF2B5EF4-FFF2-40B4-BE49-F238E27FC236}">
              <a16:creationId xmlns:a16="http://schemas.microsoft.com/office/drawing/2014/main" id="{EC2522DB-3AF2-4669-8794-B2B481DF946E}"/>
            </a:ext>
          </a:extLst>
        </xdr:cNvPr>
        <xdr:cNvSpPr/>
      </xdr:nvSpPr>
      <xdr:spPr>
        <a:xfrm>
          <a:off x="3931920" y="16116300"/>
          <a:ext cx="861060" cy="175260"/>
        </a:xfrm>
        <a:prstGeom prst="rect">
          <a:avLst/>
        </a:prstGeom>
        <a:no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3F151197-780A-4263-A206-40A9C1603B73}" type="TxLink">
            <a:rPr lang="en-US" sz="900" b="0" i="0" u="none" strike="noStrike">
              <a:solidFill>
                <a:sysClr val="windowText" lastClr="000000"/>
              </a:solidFill>
              <a:latin typeface="Calibri"/>
              <a:ea typeface="Calibri"/>
              <a:cs typeface="Calibri"/>
            </a:rPr>
            <a:pPr marL="0" indent="0" algn="ctr"/>
            <a:t>4,255</a:t>
          </a:fld>
          <a:endParaRPr lang="en-NZ" sz="900" b="0" i="0" u="none" strike="noStrike">
            <a:solidFill>
              <a:sysClr val="windowText" lastClr="000000"/>
            </a:solidFill>
            <a:latin typeface="Calibri"/>
            <a:ea typeface="Calibri"/>
            <a:cs typeface="Calibri"/>
          </a:endParaRPr>
        </a:p>
      </xdr:txBody>
    </xdr:sp>
    <xdr:clientData/>
  </xdr:twoCellAnchor>
  <xdr:twoCellAnchor>
    <xdr:from>
      <xdr:col>11</xdr:col>
      <xdr:colOff>22860</xdr:colOff>
      <xdr:row>40</xdr:row>
      <xdr:rowOff>7620</xdr:rowOff>
    </xdr:from>
    <xdr:to>
      <xdr:col>11</xdr:col>
      <xdr:colOff>617220</xdr:colOff>
      <xdr:row>41</xdr:row>
      <xdr:rowOff>0</xdr:rowOff>
    </xdr:to>
    <xdr:sp macro="" textlink="$C$70">
      <xdr:nvSpPr>
        <xdr:cNvPr id="41" name="Flowchart: Terminator 14">
          <a:extLst>
            <a:ext uri="{FF2B5EF4-FFF2-40B4-BE49-F238E27FC236}">
              <a16:creationId xmlns:a16="http://schemas.microsoft.com/office/drawing/2014/main" id="{EBE42B90-7266-47E5-972B-26D13F55818B}"/>
            </a:ext>
          </a:extLst>
        </xdr:cNvPr>
        <xdr:cNvSpPr/>
      </xdr:nvSpPr>
      <xdr:spPr>
        <a:xfrm>
          <a:off x="5661660" y="16108680"/>
          <a:ext cx="594360" cy="17526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70BE3334-221F-4ECD-91F5-2418A69D3767}" type="TxLink">
            <a:rPr lang="en-US" sz="900" b="0" i="0" u="none" strike="noStrike">
              <a:solidFill>
                <a:schemeClr val="bg1"/>
              </a:solidFill>
              <a:latin typeface="Calibri"/>
              <a:ea typeface="Calibri"/>
              <a:cs typeface="Calibri"/>
            </a:rPr>
            <a:pPr marL="0" indent="0" algn="ctr"/>
            <a:t>3,830</a:t>
          </a:fld>
          <a:endParaRPr lang="en-US" sz="900" b="0" i="0" u="none" strike="noStrike">
            <a:solidFill>
              <a:schemeClr val="bg1"/>
            </a:solidFill>
            <a:latin typeface="Calibri"/>
            <a:ea typeface="Calibri"/>
            <a:cs typeface="Calibri"/>
          </a:endParaRPr>
        </a:p>
      </xdr:txBody>
    </xdr:sp>
    <xdr:clientData/>
  </xdr:twoCellAnchor>
  <xdr:twoCellAnchor>
    <xdr:from>
      <xdr:col>9</xdr:col>
      <xdr:colOff>15240</xdr:colOff>
      <xdr:row>40</xdr:row>
      <xdr:rowOff>95250</xdr:rowOff>
    </xdr:from>
    <xdr:to>
      <xdr:col>11</xdr:col>
      <xdr:colOff>22860</xdr:colOff>
      <xdr:row>40</xdr:row>
      <xdr:rowOff>102870</xdr:rowOff>
    </xdr:to>
    <xdr:cxnSp macro="">
      <xdr:nvCxnSpPr>
        <xdr:cNvPr id="51" name="Straight Arrow Connector 15">
          <a:extLst>
            <a:ext uri="{FF2B5EF4-FFF2-40B4-BE49-F238E27FC236}">
              <a16:creationId xmlns:a16="http://schemas.microsoft.com/office/drawing/2014/main" id="{B6457438-A8A8-4DCA-B199-4D60D4E90CFA}"/>
            </a:ext>
          </a:extLst>
        </xdr:cNvPr>
        <xdr:cNvCxnSpPr>
          <a:cxnSpLocks/>
          <a:stCxn id="39" idx="3"/>
          <a:endCxn id="41" idx="1"/>
        </xdr:cNvCxnSpPr>
      </xdr:nvCxnSpPr>
      <xdr:spPr>
        <a:xfrm flipV="1">
          <a:off x="3931920" y="16196310"/>
          <a:ext cx="1729740" cy="762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xdr:colOff>
      <xdr:row>40</xdr:row>
      <xdr:rowOff>102870</xdr:rowOff>
    </xdr:from>
    <xdr:to>
      <xdr:col>11</xdr:col>
      <xdr:colOff>7620</xdr:colOff>
      <xdr:row>42</xdr:row>
      <xdr:rowOff>105240</xdr:rowOff>
    </xdr:to>
    <xdr:cxnSp macro="">
      <xdr:nvCxnSpPr>
        <xdr:cNvPr id="52" name="Straight Arrow Connector 16">
          <a:extLst>
            <a:ext uri="{FF2B5EF4-FFF2-40B4-BE49-F238E27FC236}">
              <a16:creationId xmlns:a16="http://schemas.microsoft.com/office/drawing/2014/main" id="{04FB7C53-10A3-4A5E-AEB5-2E658528B613}"/>
            </a:ext>
          </a:extLst>
        </xdr:cNvPr>
        <xdr:cNvCxnSpPr>
          <a:stCxn id="39" idx="3"/>
          <a:endCxn id="38" idx="1"/>
        </xdr:cNvCxnSpPr>
      </xdr:nvCxnSpPr>
      <xdr:spPr>
        <a:xfrm>
          <a:off x="3931920" y="16203930"/>
          <a:ext cx="1714500" cy="36813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97620</xdr:rowOff>
    </xdr:from>
    <xdr:to>
      <xdr:col>11</xdr:col>
      <xdr:colOff>0</xdr:colOff>
      <xdr:row>37</xdr:row>
      <xdr:rowOff>95250</xdr:rowOff>
    </xdr:to>
    <xdr:cxnSp macro="">
      <xdr:nvCxnSpPr>
        <xdr:cNvPr id="53" name="Straight Arrow Connector 17">
          <a:extLst>
            <a:ext uri="{FF2B5EF4-FFF2-40B4-BE49-F238E27FC236}">
              <a16:creationId xmlns:a16="http://schemas.microsoft.com/office/drawing/2014/main" id="{DB5216F3-A5F9-4173-AE17-128B48BC3DE7}"/>
            </a:ext>
          </a:extLst>
        </xdr:cNvPr>
        <xdr:cNvCxnSpPr>
          <a:stCxn id="33" idx="3"/>
          <a:endCxn id="34" idx="1"/>
        </xdr:cNvCxnSpPr>
      </xdr:nvCxnSpPr>
      <xdr:spPr>
        <a:xfrm flipV="1">
          <a:off x="3916680" y="15101400"/>
          <a:ext cx="1722120" cy="54627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37</xdr:row>
      <xdr:rowOff>95250</xdr:rowOff>
    </xdr:from>
    <xdr:to>
      <xdr:col>10</xdr:col>
      <xdr:colOff>853440</xdr:colOff>
      <xdr:row>37</xdr:row>
      <xdr:rowOff>105240</xdr:rowOff>
    </xdr:to>
    <xdr:cxnSp macro="">
      <xdr:nvCxnSpPr>
        <xdr:cNvPr id="54" name="Straight Arrow Connector 18">
          <a:extLst>
            <a:ext uri="{FF2B5EF4-FFF2-40B4-BE49-F238E27FC236}">
              <a16:creationId xmlns:a16="http://schemas.microsoft.com/office/drawing/2014/main" id="{FC60F7C4-9456-4275-BB04-5EFDFA126775}"/>
            </a:ext>
          </a:extLst>
        </xdr:cNvPr>
        <xdr:cNvCxnSpPr>
          <a:stCxn id="33" idx="3"/>
          <a:endCxn id="35" idx="1"/>
        </xdr:cNvCxnSpPr>
      </xdr:nvCxnSpPr>
      <xdr:spPr>
        <a:xfrm>
          <a:off x="3916680" y="15647670"/>
          <a:ext cx="1714500" cy="999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426720</xdr:colOff>
      <xdr:row>35</xdr:row>
      <xdr:rowOff>22860</xdr:rowOff>
    </xdr:from>
    <xdr:to>
      <xdr:col>10</xdr:col>
      <xdr:colOff>213360</xdr:colOff>
      <xdr:row>36</xdr:row>
      <xdr:rowOff>76200</xdr:rowOff>
    </xdr:to>
    <xdr:sp macro="" textlink="'Change Inputs'!$D$35">
      <xdr:nvSpPr>
        <xdr:cNvPr id="42" name="TextBox 22">
          <a:extLst>
            <a:ext uri="{FF2B5EF4-FFF2-40B4-BE49-F238E27FC236}">
              <a16:creationId xmlns:a16="http://schemas.microsoft.com/office/drawing/2014/main" id="{1BFFF3B7-D403-42C9-81F7-A587481F4ABE}"/>
            </a:ext>
          </a:extLst>
        </xdr:cNvPr>
        <xdr:cNvSpPr txBox="1"/>
      </xdr:nvSpPr>
      <xdr:spPr>
        <a:xfrm>
          <a:off x="4343400" y="1520952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541223DD-EA45-43DB-BBA8-F01E94181396}" type="TxLink">
            <a:rPr lang="en-US" sz="900" b="0" i="0" u="none" strike="noStrike">
              <a:solidFill>
                <a:srgbClr val="000000"/>
              </a:solidFill>
              <a:latin typeface="Calibri"/>
              <a:ea typeface="Calibri"/>
              <a:cs typeface="Calibri"/>
            </a:rPr>
            <a:pPr marL="0" indent="0"/>
            <a:t>97.0%</a:t>
          </a:fld>
          <a:endParaRPr lang="en-NZ" sz="900" b="0" i="0" u="none" strike="noStrike">
            <a:solidFill>
              <a:srgbClr val="000000"/>
            </a:solidFill>
            <a:latin typeface="Calibri"/>
            <a:ea typeface="Calibri"/>
            <a:cs typeface="Calibri"/>
          </a:endParaRPr>
        </a:p>
      </xdr:txBody>
    </xdr:sp>
    <xdr:clientData/>
  </xdr:twoCellAnchor>
  <xdr:twoCellAnchor>
    <xdr:from>
      <xdr:col>9</xdr:col>
      <xdr:colOff>441960</xdr:colOff>
      <xdr:row>36</xdr:row>
      <xdr:rowOff>175260</xdr:rowOff>
    </xdr:from>
    <xdr:to>
      <xdr:col>10</xdr:col>
      <xdr:colOff>228600</xdr:colOff>
      <xdr:row>38</xdr:row>
      <xdr:rowOff>45720</xdr:rowOff>
    </xdr:to>
    <xdr:sp macro="" textlink="'Change Inputs'!$D$34">
      <xdr:nvSpPr>
        <xdr:cNvPr id="43" name="TextBox 23">
          <a:extLst>
            <a:ext uri="{FF2B5EF4-FFF2-40B4-BE49-F238E27FC236}">
              <a16:creationId xmlns:a16="http://schemas.microsoft.com/office/drawing/2014/main" id="{7157858A-B158-4580-9C3C-D3CE6A5BF480}"/>
            </a:ext>
          </a:extLst>
        </xdr:cNvPr>
        <xdr:cNvSpPr txBox="1"/>
      </xdr:nvSpPr>
      <xdr:spPr>
        <a:xfrm>
          <a:off x="4358640" y="1554480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AE8BAF88-6C6A-48B4-8948-EF3DA9D4012D}" type="TxLink">
            <a:rPr lang="en-US" sz="900" b="0" i="0" u="none" strike="noStrike">
              <a:solidFill>
                <a:srgbClr val="000000"/>
              </a:solidFill>
              <a:latin typeface="Calibri"/>
              <a:ea typeface="Calibri"/>
              <a:cs typeface="Calibri"/>
            </a:rPr>
            <a:pPr marL="0" indent="0"/>
            <a:t>3.0%</a:t>
          </a:fld>
          <a:endParaRPr lang="en-NZ" sz="900" b="0" i="0" u="none" strike="noStrike">
            <a:solidFill>
              <a:srgbClr val="000000"/>
            </a:solidFill>
            <a:latin typeface="Calibri"/>
            <a:ea typeface="Calibri"/>
            <a:cs typeface="Calibri"/>
          </a:endParaRPr>
        </a:p>
      </xdr:txBody>
    </xdr:sp>
    <xdr:clientData/>
  </xdr:twoCellAnchor>
  <xdr:twoCellAnchor>
    <xdr:from>
      <xdr:col>9</xdr:col>
      <xdr:colOff>647700</xdr:colOff>
      <xdr:row>39</xdr:row>
      <xdr:rowOff>83820</xdr:rowOff>
    </xdr:from>
    <xdr:to>
      <xdr:col>10</xdr:col>
      <xdr:colOff>434340</xdr:colOff>
      <xdr:row>40</xdr:row>
      <xdr:rowOff>137160</xdr:rowOff>
    </xdr:to>
    <xdr:sp macro="" textlink="'Change Inputs'!$D$39">
      <xdr:nvSpPr>
        <xdr:cNvPr id="45" name="TextBox 25">
          <a:extLst>
            <a:ext uri="{FF2B5EF4-FFF2-40B4-BE49-F238E27FC236}">
              <a16:creationId xmlns:a16="http://schemas.microsoft.com/office/drawing/2014/main" id="{FFAD49D9-8F09-4725-8158-BB6D6074485C}"/>
            </a:ext>
          </a:extLst>
        </xdr:cNvPr>
        <xdr:cNvSpPr txBox="1"/>
      </xdr:nvSpPr>
      <xdr:spPr>
        <a:xfrm>
          <a:off x="4564380" y="1600200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6E156417-EA6C-441C-9340-E8904E5062E9}" type="TxLink">
            <a:rPr lang="en-US" sz="900" b="0" i="0" u="none" strike="noStrike">
              <a:solidFill>
                <a:srgbClr val="000000"/>
              </a:solidFill>
              <a:latin typeface="Calibri"/>
              <a:ea typeface="Calibri"/>
              <a:cs typeface="Calibri"/>
            </a:rPr>
            <a:pPr marL="0" indent="0"/>
            <a:t>90.0%</a:t>
          </a:fld>
          <a:endParaRPr lang="en-NZ" sz="900" b="0" i="0" u="none" strike="noStrike">
            <a:solidFill>
              <a:srgbClr val="000000"/>
            </a:solidFill>
            <a:latin typeface="Calibri"/>
            <a:ea typeface="Calibri"/>
            <a:cs typeface="Calibri"/>
          </a:endParaRPr>
        </a:p>
      </xdr:txBody>
    </xdr:sp>
    <xdr:clientData/>
  </xdr:twoCellAnchor>
  <xdr:twoCellAnchor>
    <xdr:from>
      <xdr:col>9</xdr:col>
      <xdr:colOff>746760</xdr:colOff>
      <xdr:row>41</xdr:row>
      <xdr:rowOff>121920</xdr:rowOff>
    </xdr:from>
    <xdr:to>
      <xdr:col>10</xdr:col>
      <xdr:colOff>533400</xdr:colOff>
      <xdr:row>42</xdr:row>
      <xdr:rowOff>175260</xdr:rowOff>
    </xdr:to>
    <xdr:sp macro="" textlink="'Change Inputs'!$D$38">
      <xdr:nvSpPr>
        <xdr:cNvPr id="46" name="TextBox 26">
          <a:extLst>
            <a:ext uri="{FF2B5EF4-FFF2-40B4-BE49-F238E27FC236}">
              <a16:creationId xmlns:a16="http://schemas.microsoft.com/office/drawing/2014/main" id="{43F2FAE8-C50A-4434-A52D-99693967AF2B}"/>
            </a:ext>
          </a:extLst>
        </xdr:cNvPr>
        <xdr:cNvSpPr txBox="1"/>
      </xdr:nvSpPr>
      <xdr:spPr>
        <a:xfrm>
          <a:off x="4663440" y="1640586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BDCAFEBB-FE3A-4880-BC7E-85051C36F993}" type="TxLink">
            <a:rPr lang="en-US" sz="900" b="0" i="0" u="none" strike="noStrike">
              <a:solidFill>
                <a:srgbClr val="000000"/>
              </a:solidFill>
              <a:latin typeface="Calibri"/>
              <a:ea typeface="Calibri"/>
              <a:cs typeface="Calibri"/>
            </a:rPr>
            <a:pPr marL="0" indent="0"/>
            <a:t>10.0%</a:t>
          </a:fld>
          <a:endParaRPr lang="en-NZ" sz="900" b="0" i="0" u="none" strike="noStrike">
            <a:solidFill>
              <a:srgbClr val="000000"/>
            </a:solidFill>
            <a:latin typeface="Calibri"/>
            <a:ea typeface="Calibri"/>
            <a:cs typeface="Calibri"/>
          </a:endParaRPr>
        </a:p>
      </xdr:txBody>
    </xdr:sp>
    <xdr:clientData/>
  </xdr:twoCellAnchor>
  <xdr:twoCellAnchor>
    <xdr:from>
      <xdr:col>4</xdr:col>
      <xdr:colOff>144780</xdr:colOff>
      <xdr:row>248</xdr:row>
      <xdr:rowOff>22860</xdr:rowOff>
    </xdr:from>
    <xdr:to>
      <xdr:col>7</xdr:col>
      <xdr:colOff>167641</xdr:colOff>
      <xdr:row>248</xdr:row>
      <xdr:rowOff>213364</xdr:rowOff>
    </xdr:to>
    <xdr:grpSp>
      <xdr:nvGrpSpPr>
        <xdr:cNvPr id="2" name="Group 2">
          <a:extLst>
            <a:ext uri="{FF2B5EF4-FFF2-40B4-BE49-F238E27FC236}">
              <a16:creationId xmlns:a16="http://schemas.microsoft.com/office/drawing/2014/main" id="{D3C98B4D-E670-44E8-9A30-54D20ECB8A98}"/>
            </a:ext>
          </a:extLst>
        </xdr:cNvPr>
        <xdr:cNvGrpSpPr/>
      </xdr:nvGrpSpPr>
      <xdr:grpSpPr>
        <a:xfrm>
          <a:off x="6102227" y="31519874"/>
          <a:ext cx="2685459" cy="190504"/>
          <a:chOff x="736308" y="3764280"/>
          <a:chExt cx="2590800" cy="190506"/>
        </a:xfrm>
      </xdr:grpSpPr>
      <xdr:pic>
        <xdr:nvPicPr>
          <xdr:cNvPr id="3" name="Graphic 3" descr="Back with solid fill">
            <a:extLst>
              <a:ext uri="{FF2B5EF4-FFF2-40B4-BE49-F238E27FC236}">
                <a16:creationId xmlns:a16="http://schemas.microsoft.com/office/drawing/2014/main" id="{D28DAD59-1ED7-4107-2B91-DA6F1A2A6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4" name="TextBox 4">
            <a:hlinkClick xmlns:r="http://schemas.openxmlformats.org/officeDocument/2006/relationships" r:id="rId3"/>
            <a:extLst>
              <a:ext uri="{FF2B5EF4-FFF2-40B4-BE49-F238E27FC236}">
                <a16:creationId xmlns:a16="http://schemas.microsoft.com/office/drawing/2014/main" id="{A60F5E66-A193-B976-8F92-6E11264967B8}"/>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Proactive &amp; Preventative Care</a:t>
            </a:r>
          </a:p>
        </xdr:txBody>
      </xdr:sp>
    </xdr:grpSp>
    <xdr:clientData/>
  </xdr:twoCellAnchor>
  <xdr:twoCellAnchor>
    <xdr:from>
      <xdr:col>4</xdr:col>
      <xdr:colOff>121920</xdr:colOff>
      <xdr:row>342</xdr:row>
      <xdr:rowOff>15240</xdr:rowOff>
    </xdr:from>
    <xdr:to>
      <xdr:col>7</xdr:col>
      <xdr:colOff>144781</xdr:colOff>
      <xdr:row>342</xdr:row>
      <xdr:rowOff>205744</xdr:rowOff>
    </xdr:to>
    <xdr:grpSp>
      <xdr:nvGrpSpPr>
        <xdr:cNvPr id="5" name="Group 2">
          <a:extLst>
            <a:ext uri="{FF2B5EF4-FFF2-40B4-BE49-F238E27FC236}">
              <a16:creationId xmlns:a16="http://schemas.microsoft.com/office/drawing/2014/main" id="{B1BEF854-040D-4D81-B45B-FE54F2E4DCDA}"/>
            </a:ext>
          </a:extLst>
        </xdr:cNvPr>
        <xdr:cNvGrpSpPr/>
      </xdr:nvGrpSpPr>
      <xdr:grpSpPr>
        <a:xfrm>
          <a:off x="6087531" y="43306285"/>
          <a:ext cx="2670492" cy="190504"/>
          <a:chOff x="736308" y="3764280"/>
          <a:chExt cx="2590800" cy="190506"/>
        </a:xfrm>
      </xdr:grpSpPr>
      <xdr:pic>
        <xdr:nvPicPr>
          <xdr:cNvPr id="6" name="Graphic 3" descr="Back with solid fill">
            <a:extLst>
              <a:ext uri="{FF2B5EF4-FFF2-40B4-BE49-F238E27FC236}">
                <a16:creationId xmlns:a16="http://schemas.microsoft.com/office/drawing/2014/main" id="{55F69B04-231E-19B5-C72B-CD1F537B38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7" name="TextBox 4">
            <a:hlinkClick xmlns:r="http://schemas.openxmlformats.org/officeDocument/2006/relationships" r:id="rId4"/>
            <a:extLst>
              <a:ext uri="{FF2B5EF4-FFF2-40B4-BE49-F238E27FC236}">
                <a16:creationId xmlns:a16="http://schemas.microsoft.com/office/drawing/2014/main" id="{C60506ED-6B73-68E7-FE64-4FFD545877FE}"/>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Proactive &amp; Preventative Care</a:t>
            </a:r>
          </a:p>
        </xdr:txBody>
      </xdr:sp>
    </xdr:grpSp>
    <xdr:clientData/>
  </xdr:twoCellAnchor>
  <xdr:twoCellAnchor>
    <xdr:from>
      <xdr:col>4</xdr:col>
      <xdr:colOff>68580</xdr:colOff>
      <xdr:row>383</xdr:row>
      <xdr:rowOff>0</xdr:rowOff>
    </xdr:from>
    <xdr:to>
      <xdr:col>7</xdr:col>
      <xdr:colOff>91441</xdr:colOff>
      <xdr:row>383</xdr:row>
      <xdr:rowOff>190504</xdr:rowOff>
    </xdr:to>
    <xdr:grpSp>
      <xdr:nvGrpSpPr>
        <xdr:cNvPr id="8" name="Group 2">
          <a:extLst>
            <a:ext uri="{FF2B5EF4-FFF2-40B4-BE49-F238E27FC236}">
              <a16:creationId xmlns:a16="http://schemas.microsoft.com/office/drawing/2014/main" id="{7A1E9813-15EC-4ADF-BA17-B98220D5E5FE}"/>
            </a:ext>
          </a:extLst>
        </xdr:cNvPr>
        <xdr:cNvGrpSpPr/>
      </xdr:nvGrpSpPr>
      <xdr:grpSpPr>
        <a:xfrm>
          <a:off x="6026027" y="47344853"/>
          <a:ext cx="2685459" cy="190504"/>
          <a:chOff x="736308" y="3764280"/>
          <a:chExt cx="2590800" cy="190506"/>
        </a:xfrm>
      </xdr:grpSpPr>
      <xdr:pic>
        <xdr:nvPicPr>
          <xdr:cNvPr id="9" name="Graphic 3" descr="Back with solid fill">
            <a:extLst>
              <a:ext uri="{FF2B5EF4-FFF2-40B4-BE49-F238E27FC236}">
                <a16:creationId xmlns:a16="http://schemas.microsoft.com/office/drawing/2014/main" id="{86D7CE73-D700-29E7-3216-AA2613522F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10" name="TextBox 4">
            <a:hlinkClick xmlns:r="http://schemas.openxmlformats.org/officeDocument/2006/relationships" r:id="rId5"/>
            <a:extLst>
              <a:ext uri="{FF2B5EF4-FFF2-40B4-BE49-F238E27FC236}">
                <a16:creationId xmlns:a16="http://schemas.microsoft.com/office/drawing/2014/main" id="{B768C0FC-8749-4E10-88E5-500BD02B8ACD}"/>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Proactive &amp; Preventative Care</a:t>
            </a:r>
          </a:p>
        </xdr:txBody>
      </xdr:sp>
    </xdr:grpSp>
    <xdr:clientData/>
  </xdr:twoCellAnchor>
  <xdr:twoCellAnchor>
    <xdr:from>
      <xdr:col>4</xdr:col>
      <xdr:colOff>91440</xdr:colOff>
      <xdr:row>167</xdr:row>
      <xdr:rowOff>7620</xdr:rowOff>
    </xdr:from>
    <xdr:to>
      <xdr:col>7</xdr:col>
      <xdr:colOff>175261</xdr:colOff>
      <xdr:row>167</xdr:row>
      <xdr:rowOff>198124</xdr:rowOff>
    </xdr:to>
    <xdr:grpSp>
      <xdr:nvGrpSpPr>
        <xdr:cNvPr id="11" name="Group 2">
          <a:extLst>
            <a:ext uri="{FF2B5EF4-FFF2-40B4-BE49-F238E27FC236}">
              <a16:creationId xmlns:a16="http://schemas.microsoft.com/office/drawing/2014/main" id="{A76758EC-4BC5-48DA-A8B6-F19A04745E65}"/>
            </a:ext>
          </a:extLst>
        </xdr:cNvPr>
        <xdr:cNvGrpSpPr/>
      </xdr:nvGrpSpPr>
      <xdr:grpSpPr>
        <a:xfrm>
          <a:off x="6055690" y="19700437"/>
          <a:ext cx="2734174" cy="190504"/>
          <a:chOff x="736308" y="3764280"/>
          <a:chExt cx="2590800" cy="190506"/>
        </a:xfrm>
      </xdr:grpSpPr>
      <xdr:pic>
        <xdr:nvPicPr>
          <xdr:cNvPr id="12" name="Graphic 3" descr="Back with solid fill">
            <a:extLst>
              <a:ext uri="{FF2B5EF4-FFF2-40B4-BE49-F238E27FC236}">
                <a16:creationId xmlns:a16="http://schemas.microsoft.com/office/drawing/2014/main" id="{566FFF5D-02CD-84B7-4D7C-363BB1ADB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13" name="TextBox 4">
            <a:hlinkClick xmlns:r="http://schemas.openxmlformats.org/officeDocument/2006/relationships" r:id="rId6"/>
            <a:extLst>
              <a:ext uri="{FF2B5EF4-FFF2-40B4-BE49-F238E27FC236}">
                <a16:creationId xmlns:a16="http://schemas.microsoft.com/office/drawing/2014/main" id="{D9AB4589-C00A-F8B0-E99D-603CC143CA4E}"/>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Proactive &amp; Preventative Care</a:t>
            </a:r>
          </a:p>
        </xdr:txBody>
      </xdr:sp>
    </xdr:grpSp>
    <xdr:clientData/>
  </xdr:twoCellAnchor>
  <xdr:twoCellAnchor>
    <xdr:from>
      <xdr:col>4</xdr:col>
      <xdr:colOff>297180</xdr:colOff>
      <xdr:row>101</xdr:row>
      <xdr:rowOff>7620</xdr:rowOff>
    </xdr:from>
    <xdr:to>
      <xdr:col>7</xdr:col>
      <xdr:colOff>381001</xdr:colOff>
      <xdr:row>101</xdr:row>
      <xdr:rowOff>198124</xdr:rowOff>
    </xdr:to>
    <xdr:grpSp>
      <xdr:nvGrpSpPr>
        <xdr:cNvPr id="17" name="Group 2">
          <a:extLst>
            <a:ext uri="{FF2B5EF4-FFF2-40B4-BE49-F238E27FC236}">
              <a16:creationId xmlns:a16="http://schemas.microsoft.com/office/drawing/2014/main" id="{13D6B1E2-A6B4-475D-B694-1A30182B4684}"/>
            </a:ext>
          </a:extLst>
        </xdr:cNvPr>
        <xdr:cNvGrpSpPr/>
      </xdr:nvGrpSpPr>
      <xdr:grpSpPr>
        <a:xfrm>
          <a:off x="6254627" y="11038290"/>
          <a:ext cx="2743698" cy="190504"/>
          <a:chOff x="736308" y="3764280"/>
          <a:chExt cx="2590800" cy="190506"/>
        </a:xfrm>
      </xdr:grpSpPr>
      <xdr:pic>
        <xdr:nvPicPr>
          <xdr:cNvPr id="18" name="Graphic 3" descr="Back with solid fill">
            <a:extLst>
              <a:ext uri="{FF2B5EF4-FFF2-40B4-BE49-F238E27FC236}">
                <a16:creationId xmlns:a16="http://schemas.microsoft.com/office/drawing/2014/main" id="{EF0F0C0C-6B3B-2AE5-FBE5-BF9EC871F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19" name="TextBox 4">
            <a:hlinkClick xmlns:r="http://schemas.openxmlformats.org/officeDocument/2006/relationships" r:id="rId7"/>
            <a:extLst>
              <a:ext uri="{FF2B5EF4-FFF2-40B4-BE49-F238E27FC236}">
                <a16:creationId xmlns:a16="http://schemas.microsoft.com/office/drawing/2014/main" id="{09A33453-5F8F-AD9D-3FE5-32CE4B4281AE}"/>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Urgent &amp; Unplanned Care</a:t>
            </a:r>
          </a:p>
        </xdr:txBody>
      </xdr:sp>
    </xdr:grpSp>
    <xdr:clientData/>
  </xdr:twoCellAnchor>
  <xdr:twoCellAnchor>
    <xdr:from>
      <xdr:col>4</xdr:col>
      <xdr:colOff>304805</xdr:colOff>
      <xdr:row>7</xdr:row>
      <xdr:rowOff>30480</xdr:rowOff>
    </xdr:from>
    <xdr:to>
      <xdr:col>7</xdr:col>
      <xdr:colOff>388626</xdr:colOff>
      <xdr:row>7</xdr:row>
      <xdr:rowOff>220984</xdr:rowOff>
    </xdr:to>
    <xdr:grpSp>
      <xdr:nvGrpSpPr>
        <xdr:cNvPr id="20" name="Group 2">
          <a:extLst>
            <a:ext uri="{FF2B5EF4-FFF2-40B4-BE49-F238E27FC236}">
              <a16:creationId xmlns:a16="http://schemas.microsoft.com/office/drawing/2014/main" id="{DDA60440-7652-4310-823A-6DE1E55A26B9}"/>
            </a:ext>
          </a:extLst>
        </xdr:cNvPr>
        <xdr:cNvGrpSpPr/>
      </xdr:nvGrpSpPr>
      <xdr:grpSpPr>
        <a:xfrm>
          <a:off x="6266334" y="1516780"/>
          <a:ext cx="2743698" cy="190504"/>
          <a:chOff x="736308" y="3764280"/>
          <a:chExt cx="2590800" cy="190506"/>
        </a:xfrm>
      </xdr:grpSpPr>
      <xdr:pic>
        <xdr:nvPicPr>
          <xdr:cNvPr id="21" name="Graphic 3" descr="Back with solid fill">
            <a:extLst>
              <a:ext uri="{FF2B5EF4-FFF2-40B4-BE49-F238E27FC236}">
                <a16:creationId xmlns:a16="http://schemas.microsoft.com/office/drawing/2014/main" id="{6F318747-3D06-63EC-1A18-526E5B35E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22" name="TextBox 4">
            <a:hlinkClick xmlns:r="http://schemas.openxmlformats.org/officeDocument/2006/relationships" r:id="rId8"/>
            <a:extLst>
              <a:ext uri="{FF2B5EF4-FFF2-40B4-BE49-F238E27FC236}">
                <a16:creationId xmlns:a16="http://schemas.microsoft.com/office/drawing/2014/main" id="{FA5B51A9-CC3C-30B1-CCF1-FF9052D8C90B}"/>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Urgent &amp; Unplanned Care</a:t>
            </a:r>
          </a:p>
        </xdr:txBody>
      </xdr:sp>
    </xdr:grpSp>
    <xdr:clientData/>
  </xdr:twoCellAnchor>
  <xdr:twoCellAnchor>
    <xdr:from>
      <xdr:col>4</xdr:col>
      <xdr:colOff>91440</xdr:colOff>
      <xdr:row>428</xdr:row>
      <xdr:rowOff>7620</xdr:rowOff>
    </xdr:from>
    <xdr:to>
      <xdr:col>7</xdr:col>
      <xdr:colOff>175261</xdr:colOff>
      <xdr:row>428</xdr:row>
      <xdr:rowOff>198124</xdr:rowOff>
    </xdr:to>
    <xdr:grpSp>
      <xdr:nvGrpSpPr>
        <xdr:cNvPr id="23" name="Group 2">
          <a:extLst>
            <a:ext uri="{FF2B5EF4-FFF2-40B4-BE49-F238E27FC236}">
              <a16:creationId xmlns:a16="http://schemas.microsoft.com/office/drawing/2014/main" id="{429DF807-A973-4CF0-A039-90DAC5CA4B06}"/>
            </a:ext>
          </a:extLst>
        </xdr:cNvPr>
        <xdr:cNvGrpSpPr/>
      </xdr:nvGrpSpPr>
      <xdr:grpSpPr>
        <a:xfrm>
          <a:off x="6055690" y="53553408"/>
          <a:ext cx="2734174" cy="190504"/>
          <a:chOff x="736308" y="3764280"/>
          <a:chExt cx="2590800" cy="190506"/>
        </a:xfrm>
      </xdr:grpSpPr>
      <xdr:pic>
        <xdr:nvPicPr>
          <xdr:cNvPr id="24" name="Graphic 3" descr="Back with solid fill">
            <a:extLst>
              <a:ext uri="{FF2B5EF4-FFF2-40B4-BE49-F238E27FC236}">
                <a16:creationId xmlns:a16="http://schemas.microsoft.com/office/drawing/2014/main" id="{9DE8B373-BF9A-27D2-20A6-D8BC2616B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25" name="TextBox 4">
            <a:hlinkClick xmlns:r="http://schemas.openxmlformats.org/officeDocument/2006/relationships" r:id="rId9"/>
            <a:extLst>
              <a:ext uri="{FF2B5EF4-FFF2-40B4-BE49-F238E27FC236}">
                <a16:creationId xmlns:a16="http://schemas.microsoft.com/office/drawing/2014/main" id="{654A3B62-EFA0-EE9C-4267-B1FE9D7ECB14}"/>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Business</a:t>
            </a:r>
            <a:r>
              <a:rPr lang="en-NZ" sz="1100" b="0" baseline="0">
                <a:solidFill>
                  <a:srgbClr val="522668"/>
                </a:solidFill>
              </a:rPr>
              <a:t> Efficiency</a:t>
            </a:r>
            <a:endParaRPr lang="en-NZ" sz="1100" b="0">
              <a:solidFill>
                <a:srgbClr val="522668"/>
              </a:solidFill>
            </a:endParaRPr>
          </a:p>
        </xdr:txBody>
      </xdr:sp>
    </xdr:grpSp>
    <xdr:clientData/>
  </xdr:twoCellAnchor>
  <xdr:twoCellAnchor>
    <xdr:from>
      <xdr:col>4</xdr:col>
      <xdr:colOff>91440</xdr:colOff>
      <xdr:row>456</xdr:row>
      <xdr:rowOff>7620</xdr:rowOff>
    </xdr:from>
    <xdr:to>
      <xdr:col>7</xdr:col>
      <xdr:colOff>175261</xdr:colOff>
      <xdr:row>457</xdr:row>
      <xdr:rowOff>4</xdr:rowOff>
    </xdr:to>
    <xdr:grpSp>
      <xdr:nvGrpSpPr>
        <xdr:cNvPr id="26" name="Group 2">
          <a:extLst>
            <a:ext uri="{FF2B5EF4-FFF2-40B4-BE49-F238E27FC236}">
              <a16:creationId xmlns:a16="http://schemas.microsoft.com/office/drawing/2014/main" id="{96DE1CEA-69E3-4A96-AC26-3D4350AB22CE}"/>
            </a:ext>
          </a:extLst>
        </xdr:cNvPr>
        <xdr:cNvGrpSpPr/>
      </xdr:nvGrpSpPr>
      <xdr:grpSpPr>
        <a:xfrm>
          <a:off x="6055690" y="57688378"/>
          <a:ext cx="2734174" cy="223626"/>
          <a:chOff x="736308" y="3764280"/>
          <a:chExt cx="2590800" cy="190506"/>
        </a:xfrm>
      </xdr:grpSpPr>
      <xdr:pic>
        <xdr:nvPicPr>
          <xdr:cNvPr id="27" name="Graphic 3" descr="Back with solid fill">
            <a:extLst>
              <a:ext uri="{FF2B5EF4-FFF2-40B4-BE49-F238E27FC236}">
                <a16:creationId xmlns:a16="http://schemas.microsoft.com/office/drawing/2014/main" id="{9D4BA224-E879-0BC3-242E-2D23421E9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28" name="TextBox 4">
            <a:hlinkClick xmlns:r="http://schemas.openxmlformats.org/officeDocument/2006/relationships" r:id="rId9"/>
            <a:extLst>
              <a:ext uri="{FF2B5EF4-FFF2-40B4-BE49-F238E27FC236}">
                <a16:creationId xmlns:a16="http://schemas.microsoft.com/office/drawing/2014/main" id="{4BB55036-7901-A126-CB80-6CA48951E591}"/>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Business</a:t>
            </a:r>
            <a:r>
              <a:rPr lang="en-NZ" sz="1100" b="0" baseline="0">
                <a:solidFill>
                  <a:srgbClr val="522668"/>
                </a:solidFill>
              </a:rPr>
              <a:t> Efficiency</a:t>
            </a:r>
            <a:endParaRPr lang="en-NZ" sz="1100" b="0">
              <a:solidFill>
                <a:srgbClr val="522668"/>
              </a:solidFill>
            </a:endParaRPr>
          </a:p>
        </xdr:txBody>
      </xdr:sp>
    </xdr:grpSp>
    <xdr:clientData/>
  </xdr:twoCellAnchor>
  <xdr:twoCellAnchor>
    <xdr:from>
      <xdr:col>4</xdr:col>
      <xdr:colOff>91440</xdr:colOff>
      <xdr:row>504</xdr:row>
      <xdr:rowOff>7620</xdr:rowOff>
    </xdr:from>
    <xdr:to>
      <xdr:col>7</xdr:col>
      <xdr:colOff>175261</xdr:colOff>
      <xdr:row>504</xdr:row>
      <xdr:rowOff>198124</xdr:rowOff>
    </xdr:to>
    <xdr:grpSp>
      <xdr:nvGrpSpPr>
        <xdr:cNvPr id="29" name="Group 2">
          <a:extLst>
            <a:ext uri="{FF2B5EF4-FFF2-40B4-BE49-F238E27FC236}">
              <a16:creationId xmlns:a16="http://schemas.microsoft.com/office/drawing/2014/main" id="{8BE723D2-7901-41EB-AAA8-D72BE2B07CE9}"/>
            </a:ext>
          </a:extLst>
        </xdr:cNvPr>
        <xdr:cNvGrpSpPr/>
      </xdr:nvGrpSpPr>
      <xdr:grpSpPr>
        <a:xfrm>
          <a:off x="6055690" y="61823349"/>
          <a:ext cx="2734174" cy="190504"/>
          <a:chOff x="736308" y="3764280"/>
          <a:chExt cx="2590800" cy="190506"/>
        </a:xfrm>
      </xdr:grpSpPr>
      <xdr:pic>
        <xdr:nvPicPr>
          <xdr:cNvPr id="58" name="Graphic 3" descr="Back with solid fill">
            <a:extLst>
              <a:ext uri="{FF2B5EF4-FFF2-40B4-BE49-F238E27FC236}">
                <a16:creationId xmlns:a16="http://schemas.microsoft.com/office/drawing/2014/main" id="{52277418-1CBD-A9E2-5062-5CB10F861B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59" name="TextBox 4">
            <a:hlinkClick xmlns:r="http://schemas.openxmlformats.org/officeDocument/2006/relationships" r:id="rId9"/>
            <a:extLst>
              <a:ext uri="{FF2B5EF4-FFF2-40B4-BE49-F238E27FC236}">
                <a16:creationId xmlns:a16="http://schemas.microsoft.com/office/drawing/2014/main" id="{4B4A58D4-8681-C116-BD54-85733CB16311}"/>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Business</a:t>
            </a:r>
            <a:r>
              <a:rPr lang="en-NZ" sz="1100" b="0" baseline="0">
                <a:solidFill>
                  <a:srgbClr val="522668"/>
                </a:solidFill>
              </a:rPr>
              <a:t> Efficiency</a:t>
            </a:r>
            <a:endParaRPr lang="en-NZ" sz="1100" b="0">
              <a:solidFill>
                <a:srgbClr val="522668"/>
              </a:solidFill>
            </a:endParaRPr>
          </a:p>
        </xdr:txBody>
      </xdr:sp>
    </xdr:grpSp>
    <xdr:clientData/>
  </xdr:twoCellAnchor>
  <xdr:twoCellAnchor>
    <xdr:from>
      <xdr:col>5</xdr:col>
      <xdr:colOff>739140</xdr:colOff>
      <xdr:row>40</xdr:row>
      <xdr:rowOff>112860</xdr:rowOff>
    </xdr:from>
    <xdr:to>
      <xdr:col>11</xdr:col>
      <xdr:colOff>22860</xdr:colOff>
      <xdr:row>46</xdr:row>
      <xdr:rowOff>105240</xdr:rowOff>
    </xdr:to>
    <xdr:cxnSp macro="">
      <xdr:nvCxnSpPr>
        <xdr:cNvPr id="60" name="Straight Arrow Connector 4">
          <a:extLst>
            <a:ext uri="{FF2B5EF4-FFF2-40B4-BE49-F238E27FC236}">
              <a16:creationId xmlns:a16="http://schemas.microsoft.com/office/drawing/2014/main" id="{F985145F-C42C-4739-8C44-060093847790}"/>
            </a:ext>
          </a:extLst>
        </xdr:cNvPr>
        <xdr:cNvCxnSpPr>
          <a:cxnSpLocks/>
          <a:stCxn id="30" idx="3"/>
          <a:endCxn id="71" idx="1"/>
        </xdr:cNvCxnSpPr>
      </xdr:nvCxnSpPr>
      <xdr:spPr>
        <a:xfrm>
          <a:off x="3794760" y="16213920"/>
          <a:ext cx="4450080" cy="1089660"/>
        </a:xfrm>
        <a:prstGeom prst="straightConnector1">
          <a:avLst/>
        </a:prstGeom>
        <a:ln>
          <a:solidFill>
            <a:srgbClr val="9364A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655320</xdr:colOff>
      <xdr:row>37</xdr:row>
      <xdr:rowOff>114300</xdr:rowOff>
    </xdr:from>
    <xdr:to>
      <xdr:col>7</xdr:col>
      <xdr:colOff>441960</xdr:colOff>
      <xdr:row>38</xdr:row>
      <xdr:rowOff>167640</xdr:rowOff>
    </xdr:to>
    <xdr:sp macro="" textlink="$D$33">
      <xdr:nvSpPr>
        <xdr:cNvPr id="64" name="TextBox 22">
          <a:extLst>
            <a:ext uri="{FF2B5EF4-FFF2-40B4-BE49-F238E27FC236}">
              <a16:creationId xmlns:a16="http://schemas.microsoft.com/office/drawing/2014/main" id="{C1028EAC-3AA8-43E6-9474-0AE7FAD6B4FC}"/>
            </a:ext>
          </a:extLst>
        </xdr:cNvPr>
        <xdr:cNvSpPr txBox="1"/>
      </xdr:nvSpPr>
      <xdr:spPr>
        <a:xfrm>
          <a:off x="4572000" y="1566672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1FFB74A2-277A-4BE4-A88F-4662A32EA857}" type="TxLink">
            <a:rPr lang="en-US" sz="900" b="0" i="0" u="none" strike="noStrike">
              <a:solidFill>
                <a:srgbClr val="000000"/>
              </a:solidFill>
              <a:latin typeface="Calibri"/>
              <a:ea typeface="Calibri"/>
              <a:cs typeface="Calibri"/>
            </a:rPr>
            <a:pPr marL="0" indent="0"/>
            <a:t>26.0%</a:t>
          </a:fld>
          <a:endParaRPr lang="en-NZ" sz="900" b="0" i="0" u="none" strike="noStrike">
            <a:solidFill>
              <a:srgbClr val="000000"/>
            </a:solidFill>
            <a:latin typeface="Calibri"/>
            <a:ea typeface="Calibri"/>
            <a:cs typeface="Calibri"/>
          </a:endParaRPr>
        </a:p>
      </xdr:txBody>
    </xdr:sp>
    <xdr:clientData/>
  </xdr:twoCellAnchor>
  <xdr:twoCellAnchor>
    <xdr:from>
      <xdr:col>6</xdr:col>
      <xdr:colOff>838200</xdr:colOff>
      <xdr:row>39</xdr:row>
      <xdr:rowOff>114300</xdr:rowOff>
    </xdr:from>
    <xdr:to>
      <xdr:col>7</xdr:col>
      <xdr:colOff>624840</xdr:colOff>
      <xdr:row>40</xdr:row>
      <xdr:rowOff>167640</xdr:rowOff>
    </xdr:to>
    <xdr:sp macro="" textlink="$D$37">
      <xdr:nvSpPr>
        <xdr:cNvPr id="65" name="TextBox 22">
          <a:extLst>
            <a:ext uri="{FF2B5EF4-FFF2-40B4-BE49-F238E27FC236}">
              <a16:creationId xmlns:a16="http://schemas.microsoft.com/office/drawing/2014/main" id="{C360F3D4-A365-415C-B54A-311F41450D25}"/>
            </a:ext>
          </a:extLst>
        </xdr:cNvPr>
        <xdr:cNvSpPr txBox="1"/>
      </xdr:nvSpPr>
      <xdr:spPr>
        <a:xfrm>
          <a:off x="4754880" y="1603248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48803C1-E09D-4990-AF0C-0BC48E0D8E0E}" type="TxLink">
            <a:rPr lang="en-US" sz="900" b="0" i="0" u="none" strike="noStrike">
              <a:solidFill>
                <a:srgbClr val="000000"/>
              </a:solidFill>
              <a:latin typeface="Calibri"/>
              <a:ea typeface="Calibri"/>
              <a:cs typeface="Calibri"/>
            </a:rPr>
            <a:pPr marL="0" indent="0"/>
            <a:t>69.0%</a:t>
          </a:fld>
          <a:endParaRPr lang="en-NZ" sz="900" b="0" i="0" u="none" strike="noStrike">
            <a:solidFill>
              <a:srgbClr val="000000"/>
            </a:solidFill>
            <a:latin typeface="Calibri"/>
            <a:ea typeface="Calibri"/>
            <a:cs typeface="Calibri"/>
          </a:endParaRPr>
        </a:p>
      </xdr:txBody>
    </xdr:sp>
    <xdr:clientData/>
  </xdr:twoCellAnchor>
  <xdr:twoCellAnchor>
    <xdr:from>
      <xdr:col>6</xdr:col>
      <xdr:colOff>807720</xdr:colOff>
      <xdr:row>42</xdr:row>
      <xdr:rowOff>15240</xdr:rowOff>
    </xdr:from>
    <xdr:to>
      <xdr:col>7</xdr:col>
      <xdr:colOff>594360</xdr:colOff>
      <xdr:row>43</xdr:row>
      <xdr:rowOff>68580</xdr:rowOff>
    </xdr:to>
    <xdr:sp macro="" textlink="$D$41">
      <xdr:nvSpPr>
        <xdr:cNvPr id="66" name="TextBox 22">
          <a:extLst>
            <a:ext uri="{FF2B5EF4-FFF2-40B4-BE49-F238E27FC236}">
              <a16:creationId xmlns:a16="http://schemas.microsoft.com/office/drawing/2014/main" id="{A821735A-3701-4ADA-8365-97C41CC26FE4}"/>
            </a:ext>
          </a:extLst>
        </xdr:cNvPr>
        <xdr:cNvSpPr txBox="1"/>
      </xdr:nvSpPr>
      <xdr:spPr>
        <a:xfrm>
          <a:off x="4724400" y="16482060"/>
          <a:ext cx="647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0F72C7B6-89A4-49BC-BF6D-90AB154206A8}" type="TxLink">
            <a:rPr lang="en-US" sz="900" b="0" i="0" u="none" strike="noStrike">
              <a:solidFill>
                <a:srgbClr val="000000"/>
              </a:solidFill>
              <a:latin typeface="Calibri"/>
              <a:ea typeface="Calibri"/>
              <a:cs typeface="Calibri"/>
            </a:rPr>
            <a:pPr marL="0" indent="0"/>
            <a:t>5.0%</a:t>
          </a:fld>
          <a:endParaRPr lang="en-NZ" sz="900" b="0" i="0" u="none" strike="noStrike">
            <a:solidFill>
              <a:srgbClr val="000000"/>
            </a:solidFill>
            <a:latin typeface="Calibri"/>
            <a:ea typeface="Calibri"/>
            <a:cs typeface="Calibri"/>
          </a:endParaRPr>
        </a:p>
      </xdr:txBody>
    </xdr:sp>
    <xdr:clientData/>
  </xdr:twoCellAnchor>
  <xdr:twoCellAnchor>
    <xdr:from>
      <xdr:col>11</xdr:col>
      <xdr:colOff>22860</xdr:colOff>
      <xdr:row>46</xdr:row>
      <xdr:rowOff>15240</xdr:rowOff>
    </xdr:from>
    <xdr:to>
      <xdr:col>11</xdr:col>
      <xdr:colOff>617220</xdr:colOff>
      <xdr:row>47</xdr:row>
      <xdr:rowOff>12360</xdr:rowOff>
    </xdr:to>
    <xdr:sp macro="" textlink="$C$71">
      <xdr:nvSpPr>
        <xdr:cNvPr id="71" name="Flowchart: Terminator 11">
          <a:extLst>
            <a:ext uri="{FF2B5EF4-FFF2-40B4-BE49-F238E27FC236}">
              <a16:creationId xmlns:a16="http://schemas.microsoft.com/office/drawing/2014/main" id="{AE2AC1DD-DBB3-442B-95DB-82A02CFA6620}"/>
            </a:ext>
          </a:extLst>
        </xdr:cNvPr>
        <xdr:cNvSpPr/>
      </xdr:nvSpPr>
      <xdr:spPr>
        <a:xfrm>
          <a:off x="5661660" y="17213580"/>
          <a:ext cx="594360" cy="180000"/>
        </a:xfrm>
        <a:prstGeom prst="flowChartTerminator">
          <a:avLst/>
        </a:prstGeom>
        <a:solidFill>
          <a:srgbClr val="9364AC"/>
        </a:solidFill>
        <a:ln>
          <a:solidFill>
            <a:srgbClr val="9364A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fld id="{CAC1D6C1-9323-4AAD-8DB0-167275863396}" type="TxLink">
            <a:rPr lang="en-US" sz="900" b="0" i="0" u="none" strike="noStrike">
              <a:solidFill>
                <a:schemeClr val="bg1"/>
              </a:solidFill>
              <a:latin typeface="Calibri"/>
              <a:ea typeface="Calibri"/>
              <a:cs typeface="Calibri"/>
            </a:rPr>
            <a:pPr marL="0" indent="0" algn="ctr"/>
            <a:t>308</a:t>
          </a:fld>
          <a:endParaRPr lang="en-NZ" sz="900" b="0" i="0" u="none" strike="noStrike">
            <a:solidFill>
              <a:schemeClr val="bg1"/>
            </a:solidFill>
            <a:latin typeface="Calibri"/>
            <a:ea typeface="Calibri"/>
            <a:cs typeface="Calibri"/>
          </a:endParaRPr>
        </a:p>
      </xdr:txBody>
    </xdr:sp>
    <xdr:clientData/>
  </xdr:twoCellAnchor>
  <xdr:twoCellAnchor>
    <xdr:from>
      <xdr:col>4</xdr:col>
      <xdr:colOff>91440</xdr:colOff>
      <xdr:row>529</xdr:row>
      <xdr:rowOff>7620</xdr:rowOff>
    </xdr:from>
    <xdr:to>
      <xdr:col>7</xdr:col>
      <xdr:colOff>175261</xdr:colOff>
      <xdr:row>530</xdr:row>
      <xdr:rowOff>4</xdr:rowOff>
    </xdr:to>
    <xdr:grpSp>
      <xdr:nvGrpSpPr>
        <xdr:cNvPr id="14" name="Group 2">
          <a:extLst>
            <a:ext uri="{FF2B5EF4-FFF2-40B4-BE49-F238E27FC236}">
              <a16:creationId xmlns:a16="http://schemas.microsoft.com/office/drawing/2014/main" id="{1AB0391B-052D-4CFE-A4EE-BFAF20A0775A}"/>
            </a:ext>
          </a:extLst>
        </xdr:cNvPr>
        <xdr:cNvGrpSpPr/>
      </xdr:nvGrpSpPr>
      <xdr:grpSpPr>
        <a:xfrm>
          <a:off x="6055690" y="65420437"/>
          <a:ext cx="2734174" cy="223626"/>
          <a:chOff x="736308" y="3764280"/>
          <a:chExt cx="2590800" cy="190506"/>
        </a:xfrm>
      </xdr:grpSpPr>
      <xdr:pic>
        <xdr:nvPicPr>
          <xdr:cNvPr id="15" name="Graphic 3" descr="Back with solid fill">
            <a:extLst>
              <a:ext uri="{FF2B5EF4-FFF2-40B4-BE49-F238E27FC236}">
                <a16:creationId xmlns:a16="http://schemas.microsoft.com/office/drawing/2014/main" id="{E86ECE4C-2532-5207-299F-CA5DEF815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739685" y="3764280"/>
            <a:ext cx="185055" cy="190500"/>
          </a:xfrm>
          <a:prstGeom prst="rect">
            <a:avLst/>
          </a:prstGeom>
        </xdr:spPr>
      </xdr:pic>
      <xdr:sp macro="" textlink="">
        <xdr:nvSpPr>
          <xdr:cNvPr id="16" name="TextBox 4">
            <a:hlinkClick xmlns:r="http://schemas.openxmlformats.org/officeDocument/2006/relationships" r:id="rId9"/>
            <a:extLst>
              <a:ext uri="{FF2B5EF4-FFF2-40B4-BE49-F238E27FC236}">
                <a16:creationId xmlns:a16="http://schemas.microsoft.com/office/drawing/2014/main" id="{9BCABEDF-88CF-5594-58F9-4E531F3C373B}"/>
              </a:ext>
            </a:extLst>
          </xdr:cNvPr>
          <xdr:cNvSpPr txBox="1"/>
        </xdr:nvSpPr>
        <xdr:spPr>
          <a:xfrm>
            <a:off x="736308" y="3779525"/>
            <a:ext cx="259080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0" algn="l"/>
            <a:r>
              <a:rPr lang="en-NZ" sz="1100" b="0">
                <a:solidFill>
                  <a:srgbClr val="522668"/>
                </a:solidFill>
              </a:rPr>
              <a:t>     Back to Business</a:t>
            </a:r>
            <a:r>
              <a:rPr lang="en-NZ" sz="1100" b="0" baseline="0">
                <a:solidFill>
                  <a:srgbClr val="522668"/>
                </a:solidFill>
              </a:rPr>
              <a:t> Efficiency</a:t>
            </a:r>
            <a:endParaRPr lang="en-NZ" sz="1100" b="0">
              <a:solidFill>
                <a:srgbClr val="522668"/>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erence%20material/Complexity%20cal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healthcarehome.org.nz/resources/library/page/2/?programme&amp;topic&amp;document-type&amp;docsearch=triag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healthcarehome.org.nz/resources/library/?programme=&amp;topic=06-4-extended-practice-team&amp;document-type=&amp;docsearch=" TargetMode="External"/><Relationship Id="rId1" Type="http://schemas.openxmlformats.org/officeDocument/2006/relationships/hyperlink" Target="https://www.callcentretools.com/tools/erlang-calculato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quityhealthj.biomedcentral.com/articles/10.1186/s12939-023-01893-8/tables/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005B-2EC1-41F8-998D-C4FF896598E0}">
  <sheetPr codeName="Sheet2">
    <tabColor rgb="FF522668"/>
  </sheetPr>
  <dimension ref="A1:L34"/>
  <sheetViews>
    <sheetView showGridLines="0" zoomScale="85" zoomScaleNormal="85" workbookViewId="0">
      <selection activeCell="F39" sqref="F39"/>
    </sheetView>
  </sheetViews>
  <sheetFormatPr defaultRowHeight="14.6"/>
  <cols>
    <col min="1" max="1" width="27.53515625" customWidth="1"/>
  </cols>
  <sheetData>
    <row r="1" spans="1:12" s="1" customFormat="1" ht="30.65" customHeight="1">
      <c r="A1" s="79" t="s">
        <v>0</v>
      </c>
      <c r="B1" s="12"/>
      <c r="C1" s="12"/>
      <c r="D1" s="12"/>
      <c r="E1" s="12"/>
      <c r="F1" s="12"/>
      <c r="G1" s="12"/>
      <c r="H1" s="12"/>
      <c r="I1" s="12"/>
      <c r="J1" s="12"/>
      <c r="K1" s="12"/>
      <c r="L1" s="12"/>
    </row>
    <row r="2" spans="1:12" s="1" customFormat="1" ht="20.399999999999999" customHeight="1">
      <c r="A2" s="17" t="s">
        <v>1</v>
      </c>
      <c r="B2" s="13"/>
      <c r="C2" s="13"/>
      <c r="D2" s="13"/>
      <c r="E2" s="13"/>
      <c r="F2" s="13"/>
      <c r="G2" s="13"/>
      <c r="H2" s="13"/>
      <c r="I2" s="13"/>
      <c r="J2" s="13"/>
      <c r="K2" s="13"/>
      <c r="L2" s="13"/>
    </row>
    <row r="3" spans="1:12">
      <c r="A3" s="4"/>
    </row>
    <row r="4" spans="1:12" ht="15.9">
      <c r="A4" s="18" t="s">
        <v>2</v>
      </c>
    </row>
    <row r="5" spans="1:12">
      <c r="A5" s="16" t="s">
        <v>3</v>
      </c>
    </row>
    <row r="6" spans="1:12">
      <c r="A6" s="262" t="s">
        <v>4</v>
      </c>
    </row>
    <row r="7" spans="1:12">
      <c r="A7" t="s">
        <v>5</v>
      </c>
    </row>
    <row r="9" spans="1:12" ht="15.9">
      <c r="A9" s="18" t="s">
        <v>6</v>
      </c>
    </row>
    <row r="10" spans="1:12">
      <c r="A10" t="s">
        <v>7</v>
      </c>
    </row>
    <row r="11" spans="1:12">
      <c r="A11" t="s">
        <v>8</v>
      </c>
    </row>
    <row r="12" spans="1:12">
      <c r="A12" t="s">
        <v>9</v>
      </c>
    </row>
    <row r="13" spans="1:12">
      <c r="A13" t="s">
        <v>10</v>
      </c>
    </row>
    <row r="14" spans="1:12">
      <c r="A14" t="s">
        <v>11</v>
      </c>
    </row>
    <row r="15" spans="1:12">
      <c r="A15" t="s">
        <v>12</v>
      </c>
    </row>
    <row r="17" spans="1:6">
      <c r="A17" t="s">
        <v>13</v>
      </c>
      <c r="D17" s="40"/>
      <c r="E17" t="s">
        <v>14</v>
      </c>
    </row>
    <row r="18" spans="1:6">
      <c r="A18" t="s">
        <v>15</v>
      </c>
    </row>
    <row r="20" spans="1:6" ht="15.9">
      <c r="A20" s="18" t="s">
        <v>16</v>
      </c>
    </row>
    <row r="21" spans="1:6">
      <c r="A21" t="s">
        <v>17</v>
      </c>
    </row>
    <row r="22" spans="1:6">
      <c r="A22" t="s">
        <v>18</v>
      </c>
      <c r="F22" s="87"/>
    </row>
    <row r="23" spans="1:6">
      <c r="A23" t="s">
        <v>19</v>
      </c>
    </row>
    <row r="26" spans="1:6">
      <c r="A26" s="263" t="s">
        <v>20</v>
      </c>
    </row>
    <row r="27" spans="1:6">
      <c r="A27" s="263" t="s">
        <v>21</v>
      </c>
    </row>
    <row r="28" spans="1:6">
      <c r="A28" s="263" t="s">
        <v>22</v>
      </c>
    </row>
    <row r="29" spans="1:6">
      <c r="A29" s="263"/>
    </row>
    <row r="30" spans="1:6">
      <c r="A30" s="263" t="s">
        <v>23</v>
      </c>
    </row>
    <row r="31" spans="1:6">
      <c r="A31" s="263" t="s">
        <v>24</v>
      </c>
    </row>
    <row r="34" spans="1:1">
      <c r="A34" t="s">
        <v>25</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BC14-21DC-444A-98AB-6A0BCFCE9834}">
  <sheetPr>
    <tabColor rgb="FF522668"/>
  </sheetPr>
  <dimension ref="A1:O34"/>
  <sheetViews>
    <sheetView showGridLines="0" tabSelected="1" zoomScale="85" zoomScaleNormal="85" workbookViewId="0">
      <selection activeCell="H8" sqref="H8"/>
    </sheetView>
  </sheetViews>
  <sheetFormatPr defaultRowHeight="14.6"/>
  <cols>
    <col min="1" max="1" width="10.07421875" customWidth="1"/>
    <col min="4" max="4" width="10" customWidth="1"/>
    <col min="5" max="6" width="10.84375" customWidth="1"/>
  </cols>
  <sheetData>
    <row r="1" spans="1:15" s="1" customFormat="1" ht="30.65" customHeight="1">
      <c r="A1" s="79" t="s">
        <v>26</v>
      </c>
      <c r="B1" s="12"/>
      <c r="C1" s="12"/>
      <c r="D1" s="12"/>
      <c r="E1" s="12"/>
      <c r="F1" s="12"/>
      <c r="G1" s="12"/>
      <c r="H1" s="12"/>
      <c r="I1" s="12"/>
      <c r="J1" s="12"/>
      <c r="K1" s="12"/>
      <c r="L1" s="12"/>
      <c r="M1" s="12"/>
      <c r="N1" s="12"/>
      <c r="O1" s="12"/>
    </row>
    <row r="2" spans="1:15" s="1" customFormat="1" ht="20.399999999999999" customHeight="1">
      <c r="A2" s="17" t="s">
        <v>27</v>
      </c>
      <c r="B2" s="13"/>
      <c r="C2" s="13"/>
      <c r="D2" s="13"/>
      <c r="E2" s="13"/>
      <c r="F2" s="13"/>
      <c r="G2" s="13"/>
      <c r="H2" s="13"/>
      <c r="I2" s="13"/>
      <c r="J2" s="13"/>
      <c r="K2" s="13"/>
      <c r="L2" s="13"/>
      <c r="M2" s="13"/>
      <c r="N2" s="13"/>
      <c r="O2" s="13"/>
    </row>
    <row r="3" spans="1:15">
      <c r="A3" s="4"/>
    </row>
    <row r="4" spans="1:15" ht="18.899999999999999" thickBot="1">
      <c r="A4" s="118" t="s">
        <v>28</v>
      </c>
      <c r="B4" s="119"/>
      <c r="C4" s="119"/>
      <c r="D4" s="119"/>
      <c r="E4" s="119"/>
      <c r="F4" s="119"/>
      <c r="G4" s="119"/>
      <c r="H4" s="119"/>
      <c r="I4" s="119"/>
      <c r="J4" s="119"/>
      <c r="K4" s="119"/>
      <c r="L4" s="119"/>
      <c r="M4" s="119"/>
      <c r="N4" s="119"/>
      <c r="O4" s="119"/>
    </row>
    <row r="6" spans="1:15">
      <c r="A6" t="s">
        <v>29</v>
      </c>
      <c r="G6" s="275" t="s">
        <v>606</v>
      </c>
    </row>
    <row r="7" spans="1:15">
      <c r="A7" t="s">
        <v>31</v>
      </c>
      <c r="G7" s="33">
        <v>5000</v>
      </c>
    </row>
    <row r="9" spans="1:15">
      <c r="A9" t="s">
        <v>32</v>
      </c>
    </row>
    <row r="10" spans="1:15">
      <c r="A10" t="s">
        <v>33</v>
      </c>
      <c r="G10" s="304" t="s">
        <v>37</v>
      </c>
      <c r="H10" s="305"/>
    </row>
    <row r="12" spans="1:15">
      <c r="A12" s="45" t="s">
        <v>35</v>
      </c>
    </row>
    <row r="13" spans="1:15">
      <c r="A13" s="39" t="s">
        <v>36</v>
      </c>
      <c r="F13" s="39" t="s">
        <v>37</v>
      </c>
      <c r="K13" s="39" t="s">
        <v>34</v>
      </c>
    </row>
    <row r="14" spans="1:15">
      <c r="A14" t="s">
        <v>38</v>
      </c>
      <c r="D14" s="271"/>
      <c r="F14" t="s">
        <v>39</v>
      </c>
      <c r="K14" t="s">
        <v>40</v>
      </c>
    </row>
    <row r="15" spans="1:15">
      <c r="A15" t="s">
        <v>41</v>
      </c>
      <c r="F15" t="s">
        <v>42</v>
      </c>
      <c r="K15" t="s">
        <v>43</v>
      </c>
    </row>
    <row r="16" spans="1:15">
      <c r="A16" s="272" t="s">
        <v>44</v>
      </c>
      <c r="F16" t="s">
        <v>45</v>
      </c>
      <c r="K16" t="s">
        <v>46</v>
      </c>
    </row>
    <row r="21" spans="1:15" ht="18.899999999999999" thickBot="1">
      <c r="A21" s="118" t="s">
        <v>47</v>
      </c>
      <c r="B21" s="119"/>
      <c r="C21" s="119"/>
      <c r="D21" s="119"/>
      <c r="E21" s="119"/>
      <c r="F21" s="119"/>
      <c r="G21" s="119"/>
      <c r="H21" s="119"/>
      <c r="I21" s="119"/>
      <c r="J21" s="119"/>
      <c r="K21" s="119"/>
      <c r="L21" s="119"/>
      <c r="M21" s="119"/>
      <c r="N21" s="119"/>
      <c r="O21" s="119"/>
    </row>
    <row r="23" spans="1:15">
      <c r="A23" s="61" t="s">
        <v>48</v>
      </c>
      <c r="B23" s="16"/>
      <c r="C23" s="16"/>
      <c r="D23" s="16"/>
      <c r="E23" s="16"/>
    </row>
    <row r="24" spans="1:15" s="51" customFormat="1">
      <c r="C24" s="51" t="s">
        <v>49</v>
      </c>
      <c r="D24" s="51" t="s">
        <v>50</v>
      </c>
      <c r="E24" s="16"/>
    </row>
    <row r="25" spans="1:15">
      <c r="A25" s="25" t="s">
        <v>51</v>
      </c>
      <c r="C25" s="25">
        <f>Results!E13</f>
        <v>18500</v>
      </c>
      <c r="D25" s="25">
        <f>Results!E15</f>
        <v>2500</v>
      </c>
      <c r="E25" s="16"/>
      <c r="H25" s="97"/>
    </row>
    <row r="26" spans="1:15">
      <c r="A26" t="s">
        <v>52</v>
      </c>
      <c r="C26" s="100">
        <f>Results!E14</f>
        <v>3.7</v>
      </c>
      <c r="D26" s="100">
        <f>Results!E16</f>
        <v>0.5</v>
      </c>
      <c r="E26" s="16"/>
      <c r="H26" s="97"/>
    </row>
    <row r="27" spans="1:15">
      <c r="A27" s="4" t="s">
        <v>53</v>
      </c>
    </row>
    <row r="28" spans="1:15">
      <c r="A28" s="4"/>
    </row>
    <row r="29" spans="1:15">
      <c r="E29" s="97"/>
      <c r="F29" s="97"/>
      <c r="G29" s="97"/>
      <c r="H29" s="97"/>
      <c r="I29" s="97"/>
      <c r="J29" s="97"/>
    </row>
    <row r="30" spans="1:15">
      <c r="A30" s="61" t="s">
        <v>54</v>
      </c>
      <c r="B30" s="16"/>
      <c r="C30" s="16"/>
      <c r="D30" s="104" t="s">
        <v>55</v>
      </c>
      <c r="E30" s="104" t="s">
        <v>55</v>
      </c>
      <c r="F30" s="16"/>
    </row>
    <row r="31" spans="1:15">
      <c r="A31" t="s">
        <v>56</v>
      </c>
      <c r="D31" s="88">
        <f>Results!E29</f>
        <v>2059981.7422489147</v>
      </c>
      <c r="E31" s="88"/>
      <c r="F31" s="88"/>
      <c r="G31" s="32"/>
      <c r="H31" s="97"/>
      <c r="I31" s="97"/>
    </row>
    <row r="32" spans="1:15">
      <c r="A32" s="16" t="s">
        <v>57</v>
      </c>
      <c r="D32" s="88">
        <f>Results!E34</f>
        <v>1788415.8616526702</v>
      </c>
      <c r="E32" s="88"/>
      <c r="F32" s="88"/>
      <c r="G32" s="32"/>
    </row>
    <row r="33" spans="1:9">
      <c r="A33" t="s">
        <v>58</v>
      </c>
      <c r="D33" s="88">
        <f>Results!E36</f>
        <v>271565.88059624447</v>
      </c>
      <c r="E33" s="88"/>
      <c r="F33" s="88"/>
      <c r="H33" s="97"/>
      <c r="I33" s="97"/>
    </row>
    <row r="34" spans="1:9">
      <c r="A34" t="s">
        <v>59</v>
      </c>
      <c r="D34" s="117">
        <f>D33/D31</f>
        <v>0.13182926577774989</v>
      </c>
      <c r="E34" s="117"/>
      <c r="F34" s="117"/>
    </row>
  </sheetData>
  <sheetProtection sheet="1" objects="1" scenarios="1"/>
  <protectedRanges>
    <protectedRange sqref="G6:G7 G10" name="UserInputs"/>
  </protectedRanges>
  <mergeCells count="1">
    <mergeCell ref="G10:H10"/>
  </mergeCells>
  <conditionalFormatting sqref="A13:A16">
    <cfRule type="expression" dxfId="8" priority="5">
      <formula>$G$10=$A$13</formula>
    </cfRule>
  </conditionalFormatting>
  <conditionalFormatting sqref="F13:J17">
    <cfRule type="expression" dxfId="7" priority="6">
      <formula>$G$10=$F$13</formula>
    </cfRule>
  </conditionalFormatting>
  <conditionalFormatting sqref="K13:Q17">
    <cfRule type="expression" dxfId="6" priority="7">
      <formula>$G$10=$K$13</formula>
    </cfRule>
  </conditionalFormatting>
  <dataValidations count="3">
    <dataValidation type="list" errorStyle="information" allowBlank="1" showInputMessage="1" showErrorMessage="1" error="Select an option from the list or leave blank" sqref="G10" xr:uid="{E2DCB2E3-D458-4F9F-AEBF-019796AD0FC1}">
      <formula1>"Low, Moderate, High"</formula1>
    </dataValidation>
    <dataValidation type="list" errorStyle="information" allowBlank="1" showInputMessage="1" showErrorMessage="1" error="Select an option from the list or leave blank" sqref="G6" xr:uid="{37C32648-AD1F-4CB8-AE00-5035AD0AECB7}">
      <formula1>"VLCA,non-VLCA"</formula1>
    </dataValidation>
    <dataValidation type="whole" errorStyle="information" allowBlank="1" showInputMessage="1" showErrorMessage="1" error="Must be a number between 0 and 100,000" sqref="G7" xr:uid="{52B46761-DBC0-4E53-B74E-59899B5227CD}">
      <formula1>0</formula1>
      <formula2>100000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Select an option from the list or leave blank" xr:uid="{9FA78B73-81DC-40E0-B094-9D4CBC220399}">
          <x14:formula1>
            <xm:f>Formats!$B$2:$B$40</xm:f>
          </x14:formula1>
          <xm:sqref>G6:G7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033F-B7B1-4EE4-BC40-21FCECE29DAF}">
  <sheetPr codeName="Sheet5">
    <tabColor rgb="FF522668"/>
  </sheetPr>
  <dimension ref="A1:AC48"/>
  <sheetViews>
    <sheetView showGridLines="0" topLeftCell="A7" zoomScaleNormal="100" workbookViewId="0">
      <selection activeCell="O24" sqref="O24"/>
    </sheetView>
  </sheetViews>
  <sheetFormatPr defaultRowHeight="14.6"/>
  <cols>
    <col min="2" max="2" width="8.84375" customWidth="1"/>
    <col min="3" max="3" width="9.53515625" bestFit="1" customWidth="1"/>
    <col min="4" max="5" width="9.4609375" bestFit="1" customWidth="1"/>
    <col min="6" max="6" width="9.53515625" bestFit="1" customWidth="1"/>
    <col min="7" max="7" width="9.07421875" bestFit="1" customWidth="1"/>
    <col min="15" max="15" width="8.84375" customWidth="1"/>
    <col min="20" max="20" width="9.4609375" bestFit="1" customWidth="1"/>
  </cols>
  <sheetData>
    <row r="1" spans="1:29" s="1" customFormat="1" ht="30.65" customHeight="1">
      <c r="A1" s="79" t="s">
        <v>60</v>
      </c>
      <c r="B1" s="12"/>
      <c r="C1" s="12"/>
      <c r="D1" s="12"/>
      <c r="E1" s="12"/>
      <c r="F1" s="12"/>
      <c r="G1" s="6"/>
      <c r="H1" s="6"/>
      <c r="I1" s="6"/>
      <c r="J1" s="6"/>
      <c r="K1" s="6"/>
      <c r="L1" s="6"/>
      <c r="M1" s="6"/>
      <c r="N1" s="6"/>
    </row>
    <row r="2" spans="1:29" s="1" customFormat="1" ht="20.399999999999999" customHeight="1">
      <c r="A2" s="17"/>
      <c r="B2" s="17"/>
      <c r="C2" s="17"/>
      <c r="D2" s="17"/>
      <c r="E2" s="17"/>
      <c r="F2" s="17"/>
      <c r="G2" s="17"/>
      <c r="H2" s="17"/>
      <c r="I2" s="17"/>
      <c r="J2" s="17"/>
      <c r="K2" s="17"/>
      <c r="L2" s="17"/>
      <c r="M2" s="17"/>
      <c r="N2" s="17"/>
    </row>
    <row r="3" spans="1:29">
      <c r="A3" s="4"/>
    </row>
    <row r="4" spans="1:29" ht="18.45">
      <c r="A4" s="15" t="s">
        <v>61</v>
      </c>
    </row>
    <row r="5" spans="1:29" ht="59.15" customHeight="1">
      <c r="A5" s="309" t="s">
        <v>62</v>
      </c>
      <c r="B5" s="309"/>
      <c r="C5" s="309"/>
      <c r="D5" s="309"/>
      <c r="E5" s="309"/>
      <c r="F5" s="309"/>
      <c r="G5" s="309"/>
      <c r="H5" s="309"/>
      <c r="I5" s="309"/>
      <c r="J5" s="309"/>
      <c r="K5" s="309"/>
      <c r="L5" s="309"/>
      <c r="M5" s="309"/>
      <c r="N5" s="309"/>
    </row>
    <row r="6" spans="1:29" s="16" customFormat="1">
      <c r="M6"/>
      <c r="N6"/>
      <c r="O6"/>
      <c r="P6"/>
      <c r="Q6"/>
      <c r="R6"/>
      <c r="S6"/>
      <c r="T6"/>
      <c r="U6"/>
      <c r="V6"/>
      <c r="W6"/>
      <c r="X6"/>
      <c r="Y6"/>
      <c r="Z6"/>
      <c r="AA6"/>
      <c r="AB6"/>
      <c r="AC6"/>
    </row>
    <row r="7" spans="1:29" ht="15.9">
      <c r="A7" s="43" t="s">
        <v>63</v>
      </c>
      <c r="B7" s="16"/>
      <c r="C7" s="16"/>
      <c r="D7" s="16"/>
      <c r="E7" s="16"/>
      <c r="F7" s="16"/>
      <c r="G7" s="16"/>
      <c r="H7" s="16"/>
      <c r="I7" s="16"/>
      <c r="J7" s="16"/>
      <c r="K7" s="16"/>
      <c r="L7" s="16"/>
      <c r="M7" s="16"/>
      <c r="N7" s="16"/>
    </row>
    <row r="8" spans="1:29">
      <c r="A8" s="16" t="s">
        <v>64</v>
      </c>
      <c r="B8" s="16"/>
      <c r="C8" s="16"/>
      <c r="D8" s="16"/>
      <c r="E8" s="16"/>
      <c r="F8" s="16"/>
      <c r="G8" s="16"/>
      <c r="H8" s="16"/>
      <c r="I8" s="16"/>
    </row>
    <row r="9" spans="1:29">
      <c r="A9" s="16" t="s">
        <v>65</v>
      </c>
      <c r="B9" s="16"/>
      <c r="C9" s="16"/>
      <c r="D9" s="16"/>
      <c r="E9" s="16"/>
      <c r="F9" s="16"/>
      <c r="G9" s="16"/>
      <c r="H9" s="16"/>
      <c r="I9" s="16"/>
    </row>
    <row r="10" spans="1:29">
      <c r="A10" s="16" t="s">
        <v>66</v>
      </c>
      <c r="B10" s="16"/>
      <c r="C10" s="16"/>
      <c r="D10" s="16"/>
      <c r="E10" s="16"/>
      <c r="F10" s="16"/>
      <c r="G10" s="16"/>
      <c r="I10" s="87" t="s">
        <v>0</v>
      </c>
    </row>
    <row r="11" spans="1:29">
      <c r="A11" s="62"/>
      <c r="B11" s="16"/>
      <c r="C11" s="16"/>
      <c r="D11" s="16"/>
      <c r="E11" s="16"/>
      <c r="F11" s="16"/>
      <c r="G11" s="16"/>
      <c r="H11" s="16"/>
      <c r="I11" s="16"/>
      <c r="J11" s="16"/>
      <c r="K11" s="16"/>
      <c r="L11" s="16"/>
      <c r="M11" s="16"/>
      <c r="N11" s="16"/>
    </row>
    <row r="12" spans="1:29">
      <c r="A12" s="61" t="s">
        <v>67</v>
      </c>
      <c r="B12" s="16"/>
      <c r="C12" s="16"/>
      <c r="D12" s="16"/>
      <c r="E12" s="16"/>
      <c r="F12" s="16"/>
      <c r="G12" s="16"/>
      <c r="H12" s="16"/>
      <c r="I12" s="16"/>
      <c r="J12" s="16"/>
      <c r="K12" s="16"/>
      <c r="L12" s="16"/>
      <c r="M12" s="16"/>
      <c r="N12" s="16"/>
    </row>
    <row r="13" spans="1:29">
      <c r="A13" s="248" t="s">
        <v>68</v>
      </c>
      <c r="B13" s="16"/>
      <c r="C13" s="16"/>
      <c r="D13" s="86" t="s">
        <v>100</v>
      </c>
      <c r="E13" s="16"/>
      <c r="F13" s="16"/>
      <c r="G13" s="16"/>
      <c r="H13" s="16"/>
      <c r="I13" s="16"/>
      <c r="J13" s="16"/>
      <c r="K13" s="16"/>
      <c r="L13" s="16"/>
      <c r="M13" s="16"/>
      <c r="N13" s="16"/>
    </row>
    <row r="14" spans="1:29">
      <c r="A14" s="248" t="s">
        <v>69</v>
      </c>
      <c r="B14" s="16"/>
      <c r="C14" s="16"/>
      <c r="D14" s="86" t="s">
        <v>100</v>
      </c>
      <c r="E14" s="16"/>
      <c r="F14" s="16"/>
      <c r="G14" s="16"/>
      <c r="H14" s="16"/>
      <c r="I14" s="16"/>
      <c r="J14" s="16"/>
      <c r="K14" s="16"/>
      <c r="L14" s="16"/>
      <c r="M14" s="16"/>
      <c r="N14" s="16"/>
    </row>
    <row r="15" spans="1:29">
      <c r="A15" s="62"/>
      <c r="B15" s="16"/>
      <c r="C15" s="16"/>
      <c r="D15" s="16"/>
      <c r="E15" s="16"/>
      <c r="F15" s="16"/>
      <c r="G15" s="16"/>
      <c r="H15" s="16"/>
      <c r="I15" s="16"/>
      <c r="J15" s="16"/>
      <c r="K15" s="16"/>
      <c r="L15" s="16"/>
      <c r="M15" s="16"/>
      <c r="N15" s="16"/>
    </row>
    <row r="16" spans="1:29" ht="18.899999999999999" thickBot="1">
      <c r="A16" s="118" t="s">
        <v>28</v>
      </c>
      <c r="B16" s="119"/>
      <c r="C16" s="119"/>
      <c r="D16" s="119"/>
      <c r="E16" s="119"/>
      <c r="F16" s="119"/>
      <c r="G16" s="119"/>
      <c r="H16" s="119"/>
      <c r="I16" s="119"/>
      <c r="J16" s="119"/>
      <c r="K16" s="119"/>
      <c r="L16" s="119"/>
      <c r="M16" s="119"/>
      <c r="N16" s="119"/>
    </row>
    <row r="18" spans="1:10" s="16" customFormat="1">
      <c r="A18" s="16" t="s">
        <v>70</v>
      </c>
    </row>
    <row r="19" spans="1:10" s="16" customFormat="1"/>
    <row r="20" spans="1:10" ht="15.9">
      <c r="A20" s="43" t="s">
        <v>68</v>
      </c>
      <c r="B20" s="43"/>
      <c r="C20" s="43"/>
      <c r="D20" s="43"/>
      <c r="E20" s="43"/>
      <c r="F20" s="43"/>
      <c r="G20" s="43"/>
      <c r="H20" s="16"/>
    </row>
    <row r="21" spans="1:10">
      <c r="A21" s="20" t="s">
        <v>71</v>
      </c>
      <c r="C21" s="16"/>
      <c r="D21" s="16"/>
      <c r="E21" s="16"/>
      <c r="F21" s="16"/>
      <c r="I21" s="16"/>
      <c r="J21" s="16"/>
    </row>
    <row r="22" spans="1:10">
      <c r="A22" s="20" t="s">
        <v>72</v>
      </c>
      <c r="B22" s="16"/>
      <c r="J22" s="16"/>
    </row>
    <row r="23" spans="1:10">
      <c r="B23" s="16"/>
      <c r="C23" s="16"/>
      <c r="I23" s="16"/>
      <c r="J23" s="64" t="s">
        <v>73</v>
      </c>
    </row>
    <row r="24" spans="1:10">
      <c r="A24" t="s">
        <v>74</v>
      </c>
      <c r="I24" s="40"/>
      <c r="J24" s="65">
        <f>'Change Inputs'!C20</f>
        <v>118.58974358974359</v>
      </c>
    </row>
    <row r="25" spans="1:10">
      <c r="A25" t="s">
        <v>75</v>
      </c>
      <c r="I25" s="67"/>
      <c r="J25" s="66">
        <f>'Change Inputs'!C21</f>
        <v>0.3</v>
      </c>
    </row>
    <row r="26" spans="1:10">
      <c r="A26" t="s">
        <v>76</v>
      </c>
      <c r="I26" s="69"/>
      <c r="J26" s="121">
        <f>'Change Inputs'!C28</f>
        <v>0</v>
      </c>
    </row>
    <row r="28" spans="1:10" ht="15.9">
      <c r="A28" s="43" t="s">
        <v>69</v>
      </c>
      <c r="B28" s="43"/>
      <c r="C28" s="43"/>
      <c r="D28" s="43"/>
      <c r="E28" s="43"/>
      <c r="F28" s="43"/>
      <c r="G28" s="43"/>
    </row>
    <row r="29" spans="1:10">
      <c r="A29" s="20" t="s">
        <v>77</v>
      </c>
      <c r="B29" s="16"/>
      <c r="C29" s="16"/>
      <c r="D29" s="16"/>
      <c r="E29" s="16"/>
      <c r="F29" s="16"/>
      <c r="G29" s="16"/>
    </row>
    <row r="30" spans="1:10">
      <c r="C30" s="47"/>
      <c r="I30" s="16"/>
      <c r="J30" s="64" t="s">
        <v>73</v>
      </c>
    </row>
    <row r="31" spans="1:10">
      <c r="A31" t="s">
        <v>78</v>
      </c>
      <c r="C31" s="48"/>
      <c r="I31" s="40"/>
      <c r="J31" s="65">
        <f>'Change Inputs'!C107</f>
        <v>40.320512820512825</v>
      </c>
    </row>
    <row r="32" spans="1:10">
      <c r="A32" t="s">
        <v>79</v>
      </c>
      <c r="B32" s="16"/>
      <c r="C32" s="16"/>
      <c r="D32" s="16"/>
      <c r="E32" s="16"/>
      <c r="F32" s="16"/>
      <c r="G32" s="16"/>
      <c r="I32" s="40"/>
      <c r="J32" s="65">
        <f>'Change Inputs'!C108</f>
        <v>0</v>
      </c>
    </row>
    <row r="33" spans="1:14">
      <c r="A33" t="s">
        <v>80</v>
      </c>
      <c r="B33" s="16"/>
      <c r="C33" s="16"/>
      <c r="D33" s="16"/>
      <c r="E33" s="16"/>
      <c r="F33" s="16"/>
      <c r="G33" s="16"/>
      <c r="I33" s="41"/>
      <c r="J33" s="254">
        <v>0</v>
      </c>
    </row>
    <row r="34" spans="1:14">
      <c r="B34" s="16"/>
      <c r="C34" s="16"/>
      <c r="D34" s="16"/>
      <c r="E34" s="16"/>
      <c r="F34" s="16"/>
      <c r="G34" s="16"/>
      <c r="H34" s="121"/>
      <c r="I34" s="121"/>
      <c r="J34" s="121"/>
    </row>
    <row r="35" spans="1:14">
      <c r="I35" s="64" t="s">
        <v>81</v>
      </c>
      <c r="J35" s="64" t="s">
        <v>82</v>
      </c>
    </row>
    <row r="36" spans="1:14">
      <c r="A36" t="s">
        <v>83</v>
      </c>
      <c r="F36" s="306" t="s">
        <v>84</v>
      </c>
      <c r="G36" s="307"/>
      <c r="H36" s="308"/>
      <c r="I36" s="122">
        <f>'Change Inputs'!G149</f>
        <v>0.32419211639785417</v>
      </c>
      <c r="J36" s="122">
        <f>'Change Inputs'!G150</f>
        <v>6.4838423279570831E-2</v>
      </c>
      <c r="L36" s="64"/>
    </row>
    <row r="37" spans="1:14">
      <c r="J37" s="121"/>
    </row>
    <row r="38" spans="1:14">
      <c r="F38" s="64"/>
    </row>
    <row r="39" spans="1:14" ht="18.899999999999999" thickBot="1">
      <c r="A39" s="118" t="s">
        <v>85</v>
      </c>
      <c r="B39" s="119"/>
      <c r="C39" s="119"/>
      <c r="D39" s="119"/>
      <c r="E39" s="119"/>
      <c r="F39" s="119"/>
      <c r="G39" s="119"/>
      <c r="H39" s="119"/>
      <c r="I39" s="119"/>
      <c r="J39" s="119"/>
      <c r="K39" s="119"/>
      <c r="L39" s="119"/>
      <c r="M39" s="119"/>
      <c r="N39" s="119"/>
    </row>
    <row r="41" spans="1:14" ht="15.9">
      <c r="B41" s="25"/>
      <c r="C41" s="140" t="s">
        <v>86</v>
      </c>
      <c r="D41" s="140"/>
      <c r="E41" s="140"/>
      <c r="F41" s="141" t="s">
        <v>51</v>
      </c>
      <c r="I41" s="142"/>
      <c r="J41" s="140" t="s">
        <v>87</v>
      </c>
    </row>
    <row r="42" spans="1:14">
      <c r="A42" s="130"/>
      <c r="B42" s="131"/>
      <c r="C42" s="131" t="s">
        <v>56</v>
      </c>
      <c r="D42" s="131" t="s">
        <v>88</v>
      </c>
      <c r="E42" s="143" t="s">
        <v>89</v>
      </c>
      <c r="F42" s="138" t="s">
        <v>49</v>
      </c>
      <c r="G42" s="131" t="s">
        <v>90</v>
      </c>
      <c r="H42" s="131" t="s">
        <v>91</v>
      </c>
      <c r="I42" s="139" t="s">
        <v>92</v>
      </c>
      <c r="J42" s="130" t="s">
        <v>49</v>
      </c>
      <c r="K42" s="130" t="s">
        <v>90</v>
      </c>
      <c r="L42" s="130" t="s">
        <v>91</v>
      </c>
      <c r="M42" s="130"/>
    </row>
    <row r="43" spans="1:14">
      <c r="A43" t="s">
        <v>93</v>
      </c>
      <c r="C43" s="72">
        <f>'Change Inputs'!C590</f>
        <v>0</v>
      </c>
      <c r="D43" s="72">
        <f>'Change Inputs'!D590</f>
        <v>0</v>
      </c>
      <c r="E43" s="73">
        <f>C43-D43</f>
        <v>0</v>
      </c>
      <c r="F43" s="132">
        <f>'Change Inputs'!F590</f>
        <v>0</v>
      </c>
      <c r="G43" s="25">
        <f>'Change Inputs'!G590</f>
        <v>0</v>
      </c>
      <c r="H43" s="25">
        <f>'Change Inputs'!H590+'Change Inputs'!I590</f>
        <v>0</v>
      </c>
      <c r="I43" s="133">
        <f>SUM(F43:H43)</f>
        <v>0</v>
      </c>
      <c r="J43" s="55">
        <f>'Change Inputs'!C609+'Change Inputs'!C610</f>
        <v>0</v>
      </c>
      <c r="K43" s="55">
        <f>'Change Inputs'!C611</f>
        <v>0</v>
      </c>
      <c r="L43" s="55">
        <f>'Change Inputs'!C633</f>
        <v>0</v>
      </c>
    </row>
    <row r="44" spans="1:14">
      <c r="A44" s="130" t="s">
        <v>94</v>
      </c>
      <c r="B44" s="130"/>
      <c r="C44" s="136">
        <f>'Change Inputs'!C591</f>
        <v>0</v>
      </c>
      <c r="D44" s="136">
        <f>'Change Inputs'!D591</f>
        <v>0</v>
      </c>
      <c r="E44" s="137">
        <f>C44-D44</f>
        <v>0</v>
      </c>
      <c r="F44" s="138">
        <f>'Change Inputs'!F591</f>
        <v>0</v>
      </c>
      <c r="G44" s="131">
        <f>'Change Inputs'!G591</f>
        <v>0</v>
      </c>
      <c r="H44" s="131">
        <f>'Change Inputs'!H591+'Change Inputs'!I591</f>
        <v>0</v>
      </c>
      <c r="I44" s="139">
        <f>SUM(F44:H44)</f>
        <v>0</v>
      </c>
      <c r="J44" s="179">
        <f>'Change Inputs'!D609+'Change Inputs'!D610</f>
        <v>0</v>
      </c>
      <c r="K44" s="179">
        <f>'Change Inputs'!D611</f>
        <v>0</v>
      </c>
      <c r="L44" s="179">
        <f>'Change Inputs'!D633</f>
        <v>0</v>
      </c>
      <c r="M44" s="130"/>
    </row>
    <row r="45" spans="1:14">
      <c r="A45" t="s">
        <v>92</v>
      </c>
      <c r="C45" s="73">
        <f t="shared" ref="C45:L45" si="0">SUM(C43:C44)</f>
        <v>0</v>
      </c>
      <c r="D45" s="73">
        <f t="shared" si="0"/>
        <v>0</v>
      </c>
      <c r="E45" s="73">
        <f t="shared" si="0"/>
        <v>0</v>
      </c>
      <c r="F45" s="134">
        <f t="shared" si="0"/>
        <v>0</v>
      </c>
      <c r="G45" s="77">
        <f t="shared" si="0"/>
        <v>0</v>
      </c>
      <c r="H45" s="77">
        <f t="shared" si="0"/>
        <v>0</v>
      </c>
      <c r="I45" s="135">
        <f t="shared" si="0"/>
        <v>0</v>
      </c>
      <c r="J45" s="74">
        <f t="shared" si="0"/>
        <v>0</v>
      </c>
      <c r="K45" s="74">
        <f t="shared" si="0"/>
        <v>0</v>
      </c>
      <c r="L45" s="74">
        <f t="shared" si="0"/>
        <v>0</v>
      </c>
    </row>
    <row r="46" spans="1:14">
      <c r="E46" s="24" t="str">
        <f>IF(E45&gt;0,"gain","loss")</f>
        <v>loss</v>
      </c>
    </row>
    <row r="48" spans="1:14">
      <c r="A48" s="57" t="s">
        <v>95</v>
      </c>
    </row>
  </sheetData>
  <sheetProtection sheet="1" objects="1" scenarios="1"/>
  <protectedRanges>
    <protectedRange sqref="I24:I26 I31:I33 F36:H36 F36 D13:D14" name="UserInputs"/>
  </protectedRanges>
  <mergeCells count="2">
    <mergeCell ref="F36:H36"/>
    <mergeCell ref="A5:N5"/>
  </mergeCells>
  <conditionalFormatting sqref="E46">
    <cfRule type="expression" dxfId="5" priority="1">
      <formula>E46="loss"</formula>
    </cfRule>
    <cfRule type="expression" dxfId="4" priority="2">
      <formula>E46="gain"</formula>
    </cfRule>
  </conditionalFormatting>
  <dataValidations count="1">
    <dataValidation type="list" allowBlank="1" showInputMessage="1" showErrorMessage="1" sqref="D13:D14" xr:uid="{B9ECCEAC-4BA3-4D6A-9FEE-563AF45CDD78}">
      <formula1>"Yes, No"</formula1>
    </dataValidation>
  </dataValidations>
  <hyperlinks>
    <hyperlink ref="I10" r:id="rId1" xr:uid="{6CD65DAC-5119-4A62-8267-25EB993CC9BA}"/>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A26DEC-C2DE-4F2F-83E5-4B0776E378EE}">
          <x14:formula1>
            <xm:f>'Change Inputs'!$A$114:$A$117</xm:f>
          </x14:formula1>
          <xm:sqref>F36:H36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C65E-354E-46FB-89E5-AD2B867448E1}">
  <sheetPr codeName="Sheet13">
    <tabColor rgb="FF522668"/>
  </sheetPr>
  <dimension ref="A1:AD80"/>
  <sheetViews>
    <sheetView showGridLines="0" topLeftCell="A5" zoomScaleNormal="100" workbookViewId="0">
      <selection activeCell="E24" sqref="E24"/>
    </sheetView>
  </sheetViews>
  <sheetFormatPr defaultRowHeight="14.6"/>
  <cols>
    <col min="3" max="3" width="9.84375" bestFit="1" customWidth="1"/>
    <col min="5" max="5" width="9.84375" customWidth="1"/>
    <col min="10" max="10" width="9.4609375" bestFit="1" customWidth="1"/>
    <col min="13" max="13" width="9.07421875" customWidth="1"/>
  </cols>
  <sheetData>
    <row r="1" spans="1:29" s="1" customFormat="1" ht="30.65" customHeight="1">
      <c r="A1" s="79" t="s">
        <v>96</v>
      </c>
      <c r="B1" s="12"/>
      <c r="C1" s="12"/>
      <c r="D1" s="12"/>
      <c r="E1" s="12"/>
      <c r="F1" s="12"/>
      <c r="G1" s="6"/>
      <c r="H1" s="6"/>
      <c r="I1" s="6"/>
      <c r="J1" s="6"/>
      <c r="K1" s="6"/>
      <c r="L1" s="6"/>
      <c r="M1" s="6"/>
      <c r="N1" s="6"/>
    </row>
    <row r="2" spans="1:29" s="1" customFormat="1" ht="20.399999999999999" customHeight="1">
      <c r="A2" s="17"/>
      <c r="B2" s="17"/>
      <c r="C2" s="17"/>
      <c r="D2" s="17"/>
      <c r="E2" s="17"/>
      <c r="F2" s="17"/>
      <c r="G2" s="17"/>
      <c r="H2" s="17"/>
      <c r="I2" s="17"/>
      <c r="J2" s="17"/>
      <c r="K2" s="17"/>
      <c r="L2" s="17"/>
      <c r="M2" s="17"/>
      <c r="N2" s="17"/>
    </row>
    <row r="3" spans="1:29" s="1" customFormat="1" ht="20.399999999999999" customHeight="1"/>
    <row r="4" spans="1:29" ht="18.45">
      <c r="A4" s="15" t="s">
        <v>61</v>
      </c>
    </row>
    <row r="5" spans="1:29" ht="134.4" customHeight="1">
      <c r="A5" s="309" t="s">
        <v>97</v>
      </c>
      <c r="B5" s="309"/>
      <c r="C5" s="309"/>
      <c r="D5" s="309"/>
      <c r="E5" s="309"/>
      <c r="F5" s="309"/>
      <c r="G5" s="309"/>
      <c r="H5" s="309"/>
      <c r="I5" s="309"/>
      <c r="J5" s="309"/>
      <c r="K5" s="309"/>
      <c r="L5" s="309"/>
      <c r="M5" s="309"/>
      <c r="N5" s="309"/>
    </row>
    <row r="6" spans="1:29" s="16" customFormat="1">
      <c r="M6"/>
      <c r="N6"/>
      <c r="O6"/>
      <c r="P6"/>
      <c r="Q6"/>
      <c r="R6"/>
      <c r="S6"/>
      <c r="T6"/>
      <c r="U6"/>
      <c r="V6"/>
      <c r="W6"/>
      <c r="X6"/>
      <c r="Y6"/>
      <c r="Z6"/>
      <c r="AA6"/>
      <c r="AB6"/>
      <c r="AC6"/>
    </row>
    <row r="7" spans="1:29">
      <c r="A7" s="61" t="s">
        <v>67</v>
      </c>
      <c r="B7" s="16"/>
      <c r="C7" s="16"/>
      <c r="D7" s="16"/>
      <c r="E7" s="16"/>
      <c r="F7" s="16"/>
      <c r="G7" s="16"/>
      <c r="H7" s="16"/>
      <c r="I7" s="16"/>
      <c r="J7" s="16"/>
      <c r="K7" s="16"/>
      <c r="L7" s="16"/>
      <c r="M7" s="16"/>
      <c r="N7" s="16"/>
    </row>
    <row r="8" spans="1:29">
      <c r="A8" s="249" t="s">
        <v>98</v>
      </c>
      <c r="B8" s="16"/>
      <c r="C8" s="16"/>
      <c r="E8" s="86" t="s">
        <v>100</v>
      </c>
      <c r="F8" s="16"/>
      <c r="G8" s="16"/>
      <c r="H8" s="16"/>
      <c r="I8" s="16"/>
      <c r="J8" s="16"/>
      <c r="K8" s="16"/>
      <c r="L8" s="16"/>
      <c r="M8" s="16"/>
      <c r="N8" s="16"/>
    </row>
    <row r="9" spans="1:29">
      <c r="A9" s="249" t="s">
        <v>99</v>
      </c>
      <c r="B9" s="16"/>
      <c r="C9" s="16"/>
      <c r="E9" s="86" t="s">
        <v>100</v>
      </c>
      <c r="F9" s="16"/>
      <c r="G9" s="16"/>
      <c r="H9" s="16"/>
      <c r="I9" s="16"/>
      <c r="J9" s="16"/>
      <c r="K9" s="16"/>
      <c r="L9" s="16"/>
      <c r="M9" s="16"/>
      <c r="N9" s="16"/>
    </row>
    <row r="10" spans="1:29">
      <c r="A10" s="249" t="s">
        <v>101</v>
      </c>
      <c r="B10" s="16"/>
      <c r="C10" s="16"/>
      <c r="E10" s="86" t="s">
        <v>100</v>
      </c>
      <c r="F10" s="16"/>
      <c r="G10" s="16"/>
      <c r="H10" s="16"/>
      <c r="I10" s="16"/>
      <c r="J10" s="16"/>
      <c r="K10" s="16"/>
      <c r="L10" s="16"/>
      <c r="M10" s="16"/>
      <c r="N10" s="16"/>
    </row>
    <row r="11" spans="1:29">
      <c r="A11" s="249" t="s">
        <v>102</v>
      </c>
      <c r="B11" s="16"/>
      <c r="C11" s="16"/>
      <c r="E11" s="86" t="s">
        <v>100</v>
      </c>
      <c r="F11" s="16"/>
      <c r="G11" s="16"/>
      <c r="H11" s="16"/>
      <c r="I11" s="16"/>
      <c r="J11" s="16"/>
      <c r="K11" s="16"/>
      <c r="L11" s="16"/>
      <c r="M11" s="16"/>
      <c r="N11" s="16"/>
    </row>
    <row r="12" spans="1:29">
      <c r="B12" s="16"/>
      <c r="C12" s="16"/>
      <c r="D12" s="16"/>
      <c r="E12" s="16"/>
      <c r="F12" s="62"/>
      <c r="G12" s="16"/>
      <c r="H12" s="16"/>
      <c r="I12" s="16"/>
      <c r="J12" s="16"/>
      <c r="K12" s="16"/>
      <c r="L12" s="16"/>
      <c r="M12" s="20"/>
      <c r="N12" s="20"/>
    </row>
    <row r="13" spans="1:29" ht="18.899999999999999" thickBot="1">
      <c r="A13" s="118" t="s">
        <v>28</v>
      </c>
      <c r="B13" s="119"/>
      <c r="C13" s="119"/>
      <c r="D13" s="119"/>
      <c r="E13" s="119"/>
      <c r="F13" s="119"/>
      <c r="G13" s="119"/>
      <c r="H13" s="119"/>
      <c r="I13" s="119"/>
      <c r="J13" s="119"/>
      <c r="K13" s="119"/>
      <c r="L13" s="119"/>
      <c r="M13" s="119"/>
      <c r="N13" s="119"/>
    </row>
    <row r="15" spans="1:29" s="16" customFormat="1">
      <c r="A15" s="16" t="s">
        <v>103</v>
      </c>
    </row>
    <row r="16" spans="1:29" s="16" customFormat="1"/>
    <row r="17" spans="1:11" ht="15.9">
      <c r="A17" s="43" t="s">
        <v>98</v>
      </c>
      <c r="B17" s="43"/>
      <c r="C17" s="43"/>
      <c r="D17" s="43"/>
      <c r="E17" s="43"/>
      <c r="F17" s="43"/>
      <c r="G17" s="43"/>
      <c r="H17" s="16"/>
    </row>
    <row r="18" spans="1:11">
      <c r="A18" s="20" t="s">
        <v>104</v>
      </c>
      <c r="B18" s="16"/>
      <c r="C18" s="16"/>
      <c r="D18" s="16"/>
      <c r="E18" s="16"/>
      <c r="F18" s="16"/>
      <c r="I18" s="16"/>
      <c r="J18" s="16"/>
    </row>
    <row r="19" spans="1:11">
      <c r="A19" t="s">
        <v>105</v>
      </c>
      <c r="J19" s="16"/>
    </row>
    <row r="20" spans="1:11">
      <c r="F20" s="123" t="s">
        <v>106</v>
      </c>
      <c r="J20" s="16"/>
    </row>
    <row r="21" spans="1:11" s="51" customFormat="1" ht="58.3">
      <c r="A21" t="s">
        <v>107</v>
      </c>
      <c r="B21" s="302"/>
      <c r="C21" s="302"/>
      <c r="D21" s="219" t="s">
        <v>108</v>
      </c>
      <c r="E21" s="219" t="s">
        <v>109</v>
      </c>
      <c r="F21" s="215" t="s">
        <v>110</v>
      </c>
      <c r="G21" s="215" t="s">
        <v>111</v>
      </c>
      <c r="H21" s="215" t="s">
        <v>112</v>
      </c>
    </row>
    <row r="22" spans="1:11">
      <c r="A22" s="299"/>
      <c r="B22" s="300"/>
      <c r="C22" s="301"/>
      <c r="D22" s="40" t="s">
        <v>100</v>
      </c>
      <c r="E22" s="86" t="s">
        <v>321</v>
      </c>
      <c r="F22" s="189" t="str">
        <f>IF($A22="","",'Change Inputs'!H175)</f>
        <v/>
      </c>
      <c r="G22" s="220" t="str">
        <f>IF($A22="","",'Change Inputs'!I175)</f>
        <v/>
      </c>
      <c r="H22" s="222" t="str">
        <f>IF($A22="","",'Change Inputs'!J175)</f>
        <v/>
      </c>
    </row>
    <row r="23" spans="1:11">
      <c r="A23" s="299"/>
      <c r="B23" s="300"/>
      <c r="C23" s="301"/>
      <c r="D23" s="40" t="s">
        <v>100</v>
      </c>
      <c r="E23" s="86"/>
      <c r="F23" s="189" t="str">
        <f>IF($A23="","",'Change Inputs'!H176)</f>
        <v/>
      </c>
      <c r="G23" s="220" t="str">
        <f>IF($A23="","",'Change Inputs'!I176)</f>
        <v/>
      </c>
      <c r="H23" s="222" t="str">
        <f>IF($A23="","",'Change Inputs'!J176)</f>
        <v/>
      </c>
    </row>
    <row r="24" spans="1:11">
      <c r="A24" s="299"/>
      <c r="B24" s="300"/>
      <c r="C24" s="301"/>
      <c r="D24" s="40" t="s">
        <v>100</v>
      </c>
      <c r="E24" s="86"/>
      <c r="F24" s="189" t="str">
        <f>IF($A24="","",'Change Inputs'!H177)</f>
        <v/>
      </c>
      <c r="G24" s="220" t="str">
        <f>IF($A24="","",'Change Inputs'!I177)</f>
        <v/>
      </c>
      <c r="H24" s="222" t="str">
        <f>IF($A24="","",'Change Inputs'!J177)</f>
        <v/>
      </c>
    </row>
    <row r="25" spans="1:11">
      <c r="A25" s="299"/>
      <c r="B25" s="300"/>
      <c r="C25" s="301"/>
      <c r="D25" s="40" t="s">
        <v>100</v>
      </c>
      <c r="E25" s="86"/>
      <c r="F25" s="189" t="str">
        <f>IF($A25="","",'Change Inputs'!H178)</f>
        <v/>
      </c>
      <c r="G25" s="220" t="str">
        <f>IF($A25="","",'Change Inputs'!I178)</f>
        <v/>
      </c>
      <c r="H25" s="222" t="str">
        <f>IF($A25="","",'Change Inputs'!J178)</f>
        <v/>
      </c>
    </row>
    <row r="26" spans="1:11">
      <c r="A26" s="299"/>
      <c r="B26" s="300"/>
      <c r="C26" s="301"/>
      <c r="D26" s="40" t="s">
        <v>100</v>
      </c>
      <c r="E26" s="86"/>
      <c r="F26" s="189" t="str">
        <f>IF($A26="","",'Change Inputs'!H179)</f>
        <v/>
      </c>
      <c r="G26" s="220" t="str">
        <f>IF($A26="","",'Change Inputs'!I179)</f>
        <v/>
      </c>
      <c r="H26" s="222" t="str">
        <f>IF($A26="","",'Change Inputs'!J179)</f>
        <v/>
      </c>
    </row>
    <row r="27" spans="1:11">
      <c r="A27" s="299"/>
      <c r="B27" s="300"/>
      <c r="C27" s="301"/>
      <c r="D27" s="40" t="s">
        <v>100</v>
      </c>
      <c r="E27" s="86"/>
      <c r="F27" s="189" t="str">
        <f>IF($A27="","",'Change Inputs'!H180)</f>
        <v/>
      </c>
      <c r="G27" s="220" t="str">
        <f>IF($A27="","",'Change Inputs'!I180)</f>
        <v/>
      </c>
      <c r="H27" s="222" t="str">
        <f>IF($A27="","",'Change Inputs'!J180)</f>
        <v/>
      </c>
    </row>
    <row r="28" spans="1:11">
      <c r="A28" s="189"/>
      <c r="B28" s="189"/>
      <c r="C28" s="189"/>
      <c r="D28" s="189"/>
      <c r="E28" s="189"/>
      <c r="F28" s="189"/>
      <c r="G28" s="123"/>
      <c r="H28" s="123"/>
    </row>
    <row r="29" spans="1:11">
      <c r="A29" t="s">
        <v>114</v>
      </c>
    </row>
    <row r="30" spans="1:11">
      <c r="A30" s="87" t="s">
        <v>115</v>
      </c>
      <c r="K30" s="87"/>
    </row>
    <row r="31" spans="1:11">
      <c r="A31" t="s">
        <v>116</v>
      </c>
    </row>
    <row r="32" spans="1:11">
      <c r="A32" t="s">
        <v>117</v>
      </c>
    </row>
    <row r="33" spans="1:20">
      <c r="A33" s="16"/>
      <c r="B33" s="16"/>
      <c r="C33" s="16"/>
      <c r="D33" s="16"/>
      <c r="E33" s="16"/>
      <c r="F33" s="16"/>
      <c r="G33" s="16"/>
      <c r="H33" s="16"/>
    </row>
    <row r="34" spans="1:20" ht="15.9">
      <c r="A34" s="43" t="s">
        <v>99</v>
      </c>
      <c r="B34" s="16"/>
      <c r="C34" s="16"/>
      <c r="D34" s="16"/>
      <c r="E34" s="16"/>
      <c r="F34" s="16"/>
      <c r="G34" s="16"/>
      <c r="H34" s="16"/>
    </row>
    <row r="35" spans="1:20">
      <c r="A35" s="20" t="s">
        <v>118</v>
      </c>
    </row>
    <row r="36" spans="1:20">
      <c r="A36" s="78"/>
      <c r="B36" s="16"/>
      <c r="C36" s="16"/>
      <c r="F36" s="16"/>
      <c r="G36" s="64" t="s">
        <v>119</v>
      </c>
      <c r="H36" s="16"/>
    </row>
    <row r="37" spans="1:20">
      <c r="A37" t="s">
        <v>120</v>
      </c>
      <c r="F37" s="40"/>
      <c r="G37" s="189">
        <f>'Change Inputs'!D266</f>
        <v>250</v>
      </c>
      <c r="H37" s="16"/>
    </row>
    <row r="38" spans="1:20">
      <c r="A38" t="s">
        <v>121</v>
      </c>
      <c r="D38" s="64"/>
      <c r="E38" s="64"/>
      <c r="F38" s="40"/>
      <c r="G38" s="189">
        <f>'Change Inputs'!C269</f>
        <v>0</v>
      </c>
      <c r="H38" s="16"/>
    </row>
    <row r="39" spans="1:20">
      <c r="A39" t="s">
        <v>122</v>
      </c>
      <c r="F39" s="40"/>
      <c r="G39" s="189" t="s">
        <v>123</v>
      </c>
    </row>
    <row r="40" spans="1:20">
      <c r="T40" s="20"/>
    </row>
    <row r="41" spans="1:20" ht="15.9">
      <c r="A41" s="43" t="s">
        <v>124</v>
      </c>
      <c r="B41" s="16"/>
      <c r="C41" s="16"/>
      <c r="D41" s="16"/>
      <c r="E41" s="16"/>
      <c r="F41" s="16"/>
      <c r="G41" s="16"/>
      <c r="T41" s="20"/>
    </row>
    <row r="42" spans="1:20">
      <c r="A42" s="20" t="s">
        <v>125</v>
      </c>
      <c r="C42" s="47"/>
      <c r="T42" s="20"/>
    </row>
    <row r="43" spans="1:20">
      <c r="A43" s="78"/>
      <c r="G43" s="64" t="s">
        <v>119</v>
      </c>
      <c r="O43" s="64"/>
    </row>
    <row r="44" spans="1:20">
      <c r="A44" s="16" t="s">
        <v>126</v>
      </c>
      <c r="F44" s="81"/>
      <c r="G44" s="196">
        <f>'Change Inputs'!C348</f>
        <v>3994.5497322936758</v>
      </c>
      <c r="P44" s="16"/>
    </row>
    <row r="45" spans="1:20">
      <c r="A45" s="16" t="s">
        <v>127</v>
      </c>
      <c r="F45" s="81"/>
      <c r="G45" s="196">
        <f>'Change Inputs'!C349</f>
        <v>1957.3293688239012</v>
      </c>
    </row>
    <row r="46" spans="1:20">
      <c r="A46" t="s">
        <v>128</v>
      </c>
      <c r="F46" s="68"/>
      <c r="G46" s="191">
        <f>'Change Inputs'!C350</f>
        <v>0.6</v>
      </c>
      <c r="O46" s="64"/>
    </row>
    <row r="48" spans="1:20" ht="15.9">
      <c r="A48" s="43" t="s">
        <v>129</v>
      </c>
      <c r="B48" s="16"/>
      <c r="C48" s="16"/>
      <c r="D48" s="16"/>
      <c r="E48" s="16"/>
      <c r="F48" s="16"/>
      <c r="G48" s="16"/>
      <c r="T48" s="20"/>
    </row>
    <row r="49" spans="1:30">
      <c r="A49" s="20" t="s">
        <v>130</v>
      </c>
      <c r="C49" s="47"/>
      <c r="T49" s="20"/>
    </row>
    <row r="50" spans="1:30">
      <c r="A50" s="20" t="s">
        <v>131</v>
      </c>
      <c r="G50" s="64"/>
    </row>
    <row r="51" spans="1:30">
      <c r="A51" s="20"/>
      <c r="G51" s="64" t="s">
        <v>119</v>
      </c>
    </row>
    <row r="52" spans="1:30">
      <c r="A52" s="16" t="s">
        <v>132</v>
      </c>
      <c r="F52" s="40"/>
      <c r="G52" s="64">
        <f>'Change Inputs'!C389</f>
        <v>0</v>
      </c>
    </row>
    <row r="53" spans="1:30">
      <c r="A53" s="16" t="s">
        <v>133</v>
      </c>
      <c r="G53" s="64"/>
    </row>
    <row r="54" spans="1:30">
      <c r="G54" s="64"/>
    </row>
    <row r="55" spans="1:30">
      <c r="B55" s="16" t="s">
        <v>134</v>
      </c>
      <c r="F55" t="s">
        <v>135</v>
      </c>
    </row>
    <row r="56" spans="1:30">
      <c r="B56" s="299" t="s">
        <v>136</v>
      </c>
      <c r="C56" s="300"/>
      <c r="D56" s="300"/>
      <c r="E56" s="300"/>
      <c r="F56" s="40">
        <v>1</v>
      </c>
      <c r="G56" s="64">
        <f>'Change Inputs'!C393</f>
        <v>0</v>
      </c>
    </row>
    <row r="57" spans="1:30">
      <c r="B57" s="82" t="s">
        <v>284</v>
      </c>
      <c r="C57" s="83"/>
      <c r="D57" s="83"/>
      <c r="E57" s="83"/>
      <c r="F57" s="40">
        <v>1</v>
      </c>
      <c r="G57" s="64">
        <f>'Change Inputs'!C394</f>
        <v>0</v>
      </c>
    </row>
    <row r="58" spans="1:30">
      <c r="B58" s="299" t="s">
        <v>90</v>
      </c>
      <c r="C58" s="300"/>
      <c r="D58" s="300"/>
      <c r="E58" s="300"/>
      <c r="F58" s="40">
        <v>1</v>
      </c>
      <c r="G58" s="64">
        <f>'Change Inputs'!C395</f>
        <v>0</v>
      </c>
    </row>
    <row r="59" spans="1:30">
      <c r="B59" s="299"/>
      <c r="C59" s="300"/>
      <c r="D59" s="300"/>
      <c r="E59" s="300"/>
      <c r="F59" s="40"/>
      <c r="G59" s="64">
        <f>'Change Inputs'!C396</f>
        <v>0</v>
      </c>
    </row>
    <row r="60" spans="1:30">
      <c r="B60" s="299"/>
      <c r="C60" s="300"/>
      <c r="D60" s="300"/>
      <c r="E60" s="300"/>
      <c r="F60" s="40"/>
      <c r="G60" s="64">
        <f>'Change Inputs'!C397</f>
        <v>0</v>
      </c>
    </row>
    <row r="61" spans="1:30">
      <c r="B61" s="299"/>
      <c r="C61" s="300"/>
      <c r="D61" s="300"/>
      <c r="E61" s="300"/>
      <c r="F61" s="40"/>
      <c r="G61" s="64">
        <f>'Change Inputs'!C398</f>
        <v>0</v>
      </c>
    </row>
    <row r="62" spans="1:30">
      <c r="G62" s="65"/>
    </row>
    <row r="63" spans="1:30">
      <c r="A63" t="s">
        <v>138</v>
      </c>
      <c r="AC63" s="16"/>
      <c r="AD63" s="16"/>
    </row>
    <row r="64" spans="1:30">
      <c r="A64" t="s">
        <v>139</v>
      </c>
      <c r="F64" s="40" t="s">
        <v>140</v>
      </c>
    </row>
    <row r="65" spans="1:20">
      <c r="T65" s="20"/>
    </row>
    <row r="66" spans="1:20">
      <c r="T66" s="20"/>
    </row>
    <row r="69" spans="1:20" ht="18.899999999999999" thickBot="1">
      <c r="A69" s="118" t="s">
        <v>85</v>
      </c>
      <c r="B69" s="119"/>
      <c r="C69" s="119"/>
      <c r="D69" s="119"/>
      <c r="E69" s="119"/>
      <c r="F69" s="119"/>
      <c r="G69" s="119"/>
      <c r="H69" s="119"/>
      <c r="I69" s="119"/>
      <c r="J69" s="119"/>
      <c r="K69" s="119"/>
      <c r="L69" s="119"/>
      <c r="M69" s="119"/>
      <c r="N69" s="119"/>
    </row>
    <row r="71" spans="1:20" ht="15.9">
      <c r="B71" s="25"/>
      <c r="C71" s="140" t="s">
        <v>86</v>
      </c>
      <c r="D71" s="140"/>
      <c r="E71" s="140"/>
      <c r="F71" s="141" t="s">
        <v>51</v>
      </c>
      <c r="I71" s="142"/>
      <c r="J71" s="140" t="s">
        <v>87</v>
      </c>
    </row>
    <row r="72" spans="1:20" s="51" customFormat="1" ht="30.65" customHeight="1">
      <c r="A72" s="225"/>
      <c r="B72" s="226"/>
      <c r="C72" s="226" t="s">
        <v>56</v>
      </c>
      <c r="D72" s="226" t="s">
        <v>88</v>
      </c>
      <c r="E72" s="227" t="s">
        <v>89</v>
      </c>
      <c r="F72" s="228" t="s">
        <v>49</v>
      </c>
      <c r="G72" s="226" t="s">
        <v>90</v>
      </c>
      <c r="H72" s="226" t="s">
        <v>91</v>
      </c>
      <c r="I72" s="229" t="s">
        <v>92</v>
      </c>
      <c r="J72" s="225" t="s">
        <v>141</v>
      </c>
      <c r="K72" s="225" t="s">
        <v>90</v>
      </c>
      <c r="L72" s="225" t="s">
        <v>91</v>
      </c>
      <c r="M72" s="225" t="s">
        <v>142</v>
      </c>
    </row>
    <row r="73" spans="1:20">
      <c r="A73" t="s">
        <v>98</v>
      </c>
      <c r="C73" s="72">
        <f>'Change Inputs'!C593</f>
        <v>0</v>
      </c>
      <c r="D73" s="72" t="e">
        <f>'Change Inputs'!D593</f>
        <v>#VALUE!</v>
      </c>
      <c r="E73" s="73" t="e">
        <f>C73-D73</f>
        <v>#VALUE!</v>
      </c>
      <c r="F73" s="132">
        <f>'Change Inputs'!F593</f>
        <v>0</v>
      </c>
      <c r="G73" s="25">
        <f>'Change Inputs'!G593</f>
        <v>0</v>
      </c>
      <c r="H73" s="25">
        <f>'Change Inputs'!H593+'Change Inputs'!I593</f>
        <v>0</v>
      </c>
      <c r="I73" s="133">
        <f>SUM(F73:H73)</f>
        <v>0</v>
      </c>
      <c r="J73" s="55">
        <f>'Change Inputs'!F609+'Change Inputs'!F610</f>
        <v>0</v>
      </c>
      <c r="K73" s="55">
        <f>'Change Inputs'!F611</f>
        <v>0</v>
      </c>
      <c r="L73" s="55" t="e">
        <f>'Change Inputs'!F633</f>
        <v>#VALUE!</v>
      </c>
      <c r="M73" s="55" t="e">
        <f>'Change Inputs'!F634</f>
        <v>#VALUE!</v>
      </c>
    </row>
    <row r="74" spans="1:20">
      <c r="A74" t="s">
        <v>143</v>
      </c>
      <c r="C74" s="72">
        <f>'Change Inputs'!C594</f>
        <v>0</v>
      </c>
      <c r="D74" s="72">
        <f>'Change Inputs'!D594</f>
        <v>0</v>
      </c>
      <c r="E74" s="73">
        <f t="shared" ref="E74" si="0">C74-D74</f>
        <v>0</v>
      </c>
      <c r="F74" s="132">
        <f>'Change Inputs'!F594</f>
        <v>0</v>
      </c>
      <c r="G74" s="25">
        <f>'Change Inputs'!G594</f>
        <v>0</v>
      </c>
      <c r="H74" s="25">
        <f>'Change Inputs'!H594+'Change Inputs'!I594</f>
        <v>0</v>
      </c>
      <c r="I74" s="133">
        <f>SUM(F74:H74)</f>
        <v>0</v>
      </c>
      <c r="J74" s="55">
        <f>'Change Inputs'!G609+'Change Inputs'!G610</f>
        <v>0</v>
      </c>
      <c r="K74" s="55">
        <f>'Change Inputs'!G611</f>
        <v>0</v>
      </c>
      <c r="L74" s="55">
        <f>'Change Inputs'!G633</f>
        <v>0</v>
      </c>
      <c r="M74" s="55">
        <f>'Change Inputs'!G634</f>
        <v>0</v>
      </c>
    </row>
    <row r="75" spans="1:20">
      <c r="A75" t="s">
        <v>144</v>
      </c>
      <c r="C75" s="72">
        <f>'Change Inputs'!C595</f>
        <v>0</v>
      </c>
      <c r="D75" s="72">
        <f>'Change Inputs'!D595</f>
        <v>0</v>
      </c>
      <c r="E75" s="73">
        <f t="shared" ref="E75" si="1">C75-D75</f>
        <v>0</v>
      </c>
      <c r="F75" s="132">
        <f>'Change Inputs'!F595</f>
        <v>0</v>
      </c>
      <c r="G75" s="25">
        <f>'Change Inputs'!G595</f>
        <v>0</v>
      </c>
      <c r="H75" s="25">
        <f>'Change Inputs'!H595+'Change Inputs'!I595</f>
        <v>0</v>
      </c>
      <c r="I75" s="133">
        <f t="shared" ref="I75:I76" si="2">SUM(F75:H75)</f>
        <v>0</v>
      </c>
      <c r="J75" s="55">
        <f>'Change Inputs'!H609+'Change Inputs'!H610</f>
        <v>0</v>
      </c>
      <c r="K75" s="55">
        <f>'Change Inputs'!H611</f>
        <v>0</v>
      </c>
      <c r="L75" s="55">
        <f>'Change Inputs'!H633</f>
        <v>0</v>
      </c>
      <c r="M75" s="55">
        <f>'Change Inputs'!H634</f>
        <v>0</v>
      </c>
    </row>
    <row r="76" spans="1:20">
      <c r="A76" s="130" t="s">
        <v>102</v>
      </c>
      <c r="B76" s="130"/>
      <c r="C76" s="136">
        <f>'Change Inputs'!C596</f>
        <v>0</v>
      </c>
      <c r="D76" s="136">
        <f>'Change Inputs'!D596</f>
        <v>0</v>
      </c>
      <c r="E76" s="137">
        <f>C76-D76</f>
        <v>0</v>
      </c>
      <c r="F76" s="138">
        <f>'Change Inputs'!F596</f>
        <v>0</v>
      </c>
      <c r="G76" s="131">
        <f>'Change Inputs'!G596</f>
        <v>0</v>
      </c>
      <c r="H76" s="131">
        <f>'Change Inputs'!H596+'Change Inputs'!I596</f>
        <v>0</v>
      </c>
      <c r="I76" s="139">
        <f t="shared" si="2"/>
        <v>0</v>
      </c>
      <c r="J76" s="179">
        <f>'Change Inputs'!I609+'Change Inputs'!I610</f>
        <v>0</v>
      </c>
      <c r="K76" s="179">
        <f>'Change Inputs'!I611</f>
        <v>0</v>
      </c>
      <c r="L76" s="179">
        <f>'Change Inputs'!I633</f>
        <v>0</v>
      </c>
      <c r="M76" s="179">
        <f>'Change Inputs'!I634</f>
        <v>0</v>
      </c>
    </row>
    <row r="77" spans="1:20">
      <c r="A77" t="s">
        <v>92</v>
      </c>
      <c r="C77" s="73">
        <f t="shared" ref="C77:M77" si="3">SUM(C73:C76)</f>
        <v>0</v>
      </c>
      <c r="D77" s="73" t="e">
        <f t="shared" si="3"/>
        <v>#VALUE!</v>
      </c>
      <c r="E77" s="73" t="e">
        <f t="shared" si="3"/>
        <v>#VALUE!</v>
      </c>
      <c r="F77" s="134">
        <f t="shared" si="3"/>
        <v>0</v>
      </c>
      <c r="G77" s="77">
        <f t="shared" si="3"/>
        <v>0</v>
      </c>
      <c r="H77" s="77">
        <f>SUM(H73:H76)</f>
        <v>0</v>
      </c>
      <c r="I77" s="135">
        <f t="shared" si="3"/>
        <v>0</v>
      </c>
      <c r="J77" s="74">
        <f>SUM(J73:J76)</f>
        <v>0</v>
      </c>
      <c r="K77" s="74">
        <f t="shared" si="3"/>
        <v>0</v>
      </c>
      <c r="L77" s="74" t="e">
        <f t="shared" si="3"/>
        <v>#VALUE!</v>
      </c>
      <c r="M77" s="74" t="e">
        <f t="shared" si="3"/>
        <v>#VALUE!</v>
      </c>
    </row>
    <row r="78" spans="1:20">
      <c r="E78" s="24" t="e">
        <f>IF(E77&gt;0,"gain","loss")</f>
        <v>#VALUE!</v>
      </c>
    </row>
    <row r="79" spans="1:20">
      <c r="A79" s="57" t="s">
        <v>95</v>
      </c>
      <c r="E79" s="24"/>
    </row>
    <row r="80" spans="1:20">
      <c r="E80" s="24"/>
    </row>
  </sheetData>
  <sheetProtection sheet="1" objects="1" scenarios="1"/>
  <protectedRanges>
    <protectedRange sqref="A22:A27 D22:E27 F37:F39 F44:F46 F52 F56:F61 B56:B61 F64 E8:E11" name="UserInputs"/>
  </protectedRanges>
  <mergeCells count="1">
    <mergeCell ref="A5:N5"/>
  </mergeCells>
  <conditionalFormatting sqref="E78:E80">
    <cfRule type="expression" dxfId="3" priority="1">
      <formula>E78="loss"</formula>
    </cfRule>
    <cfRule type="expression" dxfId="2" priority="2">
      <formula>E78="gain"</formula>
    </cfRule>
  </conditionalFormatting>
  <dataValidations count="3">
    <dataValidation type="list" allowBlank="1" showInputMessage="1" showErrorMessage="1" sqref="F39" xr:uid="{D9AC4CBB-8CD2-43C9-8E76-3446D7E10554}">
      <formula1>"Weekly, Fortnightly, Monthly, No MDTs"</formula1>
    </dataValidation>
    <dataValidation type="list" allowBlank="1" showInputMessage="1" showErrorMessage="1" sqref="D22:D27 E8:E11" xr:uid="{B53FB8A5-254D-486C-BE16-A0E1FB569071}">
      <formula1>"Yes, No"</formula1>
    </dataValidation>
    <dataValidation type="list" allowBlank="1" showInputMessage="1" showErrorMessage="1" sqref="F64" xr:uid="{B28821F9-8B47-4EAC-830C-D5F9650FB1B1}">
      <formula1>"Additional, Flexed"</formula1>
    </dataValidation>
  </dataValidations>
  <hyperlinks>
    <hyperlink ref="A30" location="'Change Inputs'!A188" display="Detailed inputs for extended care teams" xr:uid="{3ADC3C16-FA35-4BEA-963D-2F622C68893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1CDAAE-FB77-4524-8DCA-6B2C92CDFD1F}">
          <x14:formula1>
            <xm:f>'Practice Inputs'!$A$108:$A$127</xm:f>
          </x14:formula1>
          <xm:sqref>B56:B61 A22:A27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65B8-9A80-43EA-B962-AF0EC89FFEF4}">
  <sheetPr codeName="Sheet14">
    <tabColor rgb="FF522668"/>
  </sheetPr>
  <dimension ref="A1:AC60"/>
  <sheetViews>
    <sheetView showGridLines="0" zoomScaleNormal="100" workbookViewId="0">
      <selection activeCell="F38" sqref="F38"/>
    </sheetView>
  </sheetViews>
  <sheetFormatPr defaultRowHeight="14.6"/>
  <cols>
    <col min="5" max="5" width="10" customWidth="1"/>
  </cols>
  <sheetData>
    <row r="1" spans="1:29" s="1" customFormat="1" ht="30.65" customHeight="1">
      <c r="A1" s="79" t="s">
        <v>145</v>
      </c>
      <c r="B1" s="12"/>
      <c r="C1" s="12"/>
      <c r="D1" s="12"/>
      <c r="E1" s="12"/>
      <c r="F1" s="12"/>
      <c r="G1" s="6"/>
      <c r="H1" s="6"/>
      <c r="I1" s="6"/>
      <c r="J1" s="6"/>
      <c r="K1" s="6"/>
      <c r="L1" s="6"/>
      <c r="M1" s="6"/>
      <c r="N1" s="6"/>
    </row>
    <row r="2" spans="1:29" s="1" customFormat="1" ht="20.399999999999999" customHeight="1">
      <c r="A2" s="17"/>
      <c r="B2" s="17"/>
      <c r="C2" s="17"/>
      <c r="D2" s="17"/>
      <c r="E2" s="17"/>
      <c r="F2" s="17"/>
      <c r="G2" s="17"/>
      <c r="H2" s="17"/>
      <c r="I2" s="17"/>
      <c r="J2" s="17"/>
      <c r="K2" s="17"/>
      <c r="L2" s="17"/>
      <c r="M2" s="17"/>
      <c r="N2" s="17"/>
    </row>
    <row r="3" spans="1:29">
      <c r="A3" s="4"/>
    </row>
    <row r="4" spans="1:29" ht="18.45">
      <c r="A4" s="15" t="s">
        <v>61</v>
      </c>
    </row>
    <row r="5" spans="1:29" ht="46.4" customHeight="1">
      <c r="A5" s="310" t="s">
        <v>146</v>
      </c>
      <c r="B5" s="310"/>
      <c r="C5" s="310"/>
      <c r="D5" s="310"/>
      <c r="E5" s="310"/>
      <c r="F5" s="310"/>
      <c r="G5" s="310"/>
      <c r="H5" s="310"/>
      <c r="I5" s="310"/>
      <c r="J5" s="310"/>
      <c r="K5" s="310"/>
      <c r="L5" s="310"/>
    </row>
    <row r="6" spans="1:29" s="16" customFormat="1">
      <c r="M6"/>
      <c r="N6"/>
      <c r="O6"/>
      <c r="P6"/>
      <c r="Q6"/>
      <c r="R6"/>
      <c r="S6"/>
      <c r="T6"/>
      <c r="U6"/>
      <c r="V6"/>
      <c r="W6"/>
      <c r="X6"/>
      <c r="Y6"/>
      <c r="Z6"/>
      <c r="AA6"/>
      <c r="AB6"/>
      <c r="AC6"/>
    </row>
    <row r="7" spans="1:29">
      <c r="A7" s="61" t="s">
        <v>67</v>
      </c>
      <c r="B7" s="16"/>
      <c r="C7" s="16"/>
      <c r="D7" s="16"/>
      <c r="E7" s="16"/>
      <c r="F7" s="16"/>
      <c r="G7" s="16"/>
      <c r="H7" s="16"/>
      <c r="I7" s="16"/>
      <c r="J7" s="16"/>
      <c r="K7" s="16"/>
      <c r="L7" s="16"/>
      <c r="M7" s="16"/>
      <c r="N7" s="16"/>
    </row>
    <row r="8" spans="1:29">
      <c r="A8" s="248" t="s">
        <v>147</v>
      </c>
      <c r="B8" s="16"/>
      <c r="C8" s="16"/>
      <c r="E8" s="86" t="s">
        <v>100</v>
      </c>
      <c r="F8" s="16"/>
      <c r="G8" s="16"/>
      <c r="H8" s="16"/>
      <c r="I8" s="16"/>
      <c r="J8" s="16"/>
      <c r="K8" s="16"/>
      <c r="L8" s="16"/>
      <c r="M8" s="16"/>
      <c r="N8" s="16"/>
    </row>
    <row r="9" spans="1:29">
      <c r="A9" s="248" t="s">
        <v>148</v>
      </c>
      <c r="B9" s="16"/>
      <c r="C9" s="16"/>
      <c r="E9" s="86" t="s">
        <v>100</v>
      </c>
      <c r="F9" s="16"/>
      <c r="G9" s="16"/>
      <c r="H9" s="16"/>
      <c r="I9" s="16"/>
      <c r="J9" s="16"/>
      <c r="K9" s="16"/>
      <c r="L9" s="16"/>
      <c r="M9" s="16"/>
      <c r="N9" s="16"/>
    </row>
    <row r="10" spans="1:29">
      <c r="A10" s="248" t="s">
        <v>149</v>
      </c>
      <c r="B10" s="16"/>
      <c r="C10" s="16"/>
      <c r="E10" s="86" t="s">
        <v>100</v>
      </c>
      <c r="F10" s="16"/>
      <c r="G10" s="16"/>
      <c r="H10" s="16"/>
      <c r="I10" s="16"/>
      <c r="J10" s="16"/>
      <c r="K10" s="16"/>
      <c r="L10" s="16"/>
      <c r="M10" s="16"/>
      <c r="N10" s="16"/>
    </row>
    <row r="11" spans="1:29">
      <c r="A11" s="248" t="s">
        <v>150</v>
      </c>
      <c r="B11" s="16"/>
      <c r="C11" s="16"/>
      <c r="E11" s="86" t="s">
        <v>100</v>
      </c>
      <c r="F11" s="16"/>
      <c r="G11" s="16"/>
      <c r="H11" s="16"/>
      <c r="I11" s="16"/>
      <c r="J11" s="16"/>
      <c r="K11" s="16"/>
      <c r="L11" s="16"/>
      <c r="M11" s="16"/>
      <c r="N11" s="16"/>
    </row>
    <row r="12" spans="1:29">
      <c r="A12" s="62"/>
      <c r="B12" s="16"/>
      <c r="C12" s="16"/>
      <c r="D12" s="16"/>
      <c r="E12" s="16"/>
      <c r="F12" s="16"/>
      <c r="G12" s="16"/>
      <c r="H12" s="16"/>
      <c r="I12" s="16"/>
      <c r="J12" s="16"/>
      <c r="K12" s="16"/>
      <c r="L12" s="16"/>
      <c r="M12" s="16"/>
      <c r="N12" s="16"/>
    </row>
    <row r="13" spans="1:29" ht="18.899999999999999" thickBot="1">
      <c r="A13" s="118" t="s">
        <v>28</v>
      </c>
      <c r="B13" s="119"/>
      <c r="C13" s="119"/>
      <c r="D13" s="119"/>
      <c r="E13" s="119"/>
      <c r="F13" s="119"/>
      <c r="G13" s="119"/>
      <c r="H13" s="119"/>
      <c r="I13" s="119"/>
      <c r="J13" s="119"/>
      <c r="K13" s="119"/>
      <c r="L13" s="119"/>
      <c r="M13" s="119"/>
      <c r="N13" s="119"/>
    </row>
    <row r="15" spans="1:29" s="16" customFormat="1">
      <c r="A15" s="16" t="s">
        <v>151</v>
      </c>
    </row>
    <row r="16" spans="1:29" s="16" customFormat="1"/>
    <row r="17" spans="1:10" ht="15.9">
      <c r="A17" s="43" t="s">
        <v>152</v>
      </c>
      <c r="B17" s="43"/>
      <c r="C17" s="43"/>
      <c r="D17" s="43"/>
      <c r="E17" s="43"/>
      <c r="F17" s="43"/>
      <c r="G17" s="43"/>
      <c r="H17" s="16"/>
    </row>
    <row r="18" spans="1:10">
      <c r="A18" s="20" t="s">
        <v>153</v>
      </c>
      <c r="B18" s="16"/>
      <c r="C18" s="16"/>
      <c r="D18" s="16"/>
      <c r="E18" s="16"/>
      <c r="F18" s="16"/>
      <c r="I18" s="16"/>
      <c r="J18" s="16"/>
    </row>
    <row r="19" spans="1:10">
      <c r="A19" s="78"/>
      <c r="B19" s="16"/>
      <c r="C19" s="16"/>
      <c r="G19" s="16"/>
      <c r="H19" s="64" t="s">
        <v>73</v>
      </c>
    </row>
    <row r="20" spans="1:10">
      <c r="A20" t="s">
        <v>154</v>
      </c>
      <c r="G20" s="86"/>
      <c r="H20" s="65">
        <f>'Change Inputs'!C434</f>
        <v>0</v>
      </c>
    </row>
    <row r="21" spans="1:10">
      <c r="A21" s="16" t="s">
        <v>155</v>
      </c>
      <c r="B21" s="16"/>
      <c r="C21" s="16"/>
      <c r="D21" s="16"/>
      <c r="E21" s="16"/>
      <c r="F21" s="16"/>
      <c r="G21" s="87" t="s">
        <v>156</v>
      </c>
      <c r="I21" s="16"/>
      <c r="J21" s="16"/>
    </row>
    <row r="23" spans="1:10" ht="15.9">
      <c r="A23" s="43" t="s">
        <v>157</v>
      </c>
      <c r="B23" s="43"/>
      <c r="C23" s="43"/>
      <c r="D23" s="43"/>
      <c r="E23" s="43"/>
      <c r="F23" s="43"/>
      <c r="G23" s="43"/>
      <c r="H23" s="16"/>
    </row>
    <row r="24" spans="1:10" ht="15.9">
      <c r="A24" s="20" t="s">
        <v>158</v>
      </c>
      <c r="B24" s="43"/>
      <c r="C24" s="43"/>
      <c r="D24" s="43"/>
      <c r="E24" s="43"/>
      <c r="F24" s="43"/>
      <c r="G24" s="43"/>
      <c r="H24" s="16"/>
    </row>
    <row r="25" spans="1:10">
      <c r="A25" t="s">
        <v>159</v>
      </c>
      <c r="G25" s="86" t="s">
        <v>100</v>
      </c>
      <c r="H25" s="65"/>
    </row>
    <row r="27" spans="1:10" ht="15.9">
      <c r="A27" s="43" t="s">
        <v>160</v>
      </c>
      <c r="B27" s="43"/>
      <c r="C27" s="43"/>
      <c r="D27" s="43"/>
      <c r="E27" s="43"/>
      <c r="F27" s="43"/>
      <c r="G27" s="43"/>
      <c r="H27" s="16"/>
    </row>
    <row r="28" spans="1:10" ht="15.9">
      <c r="A28" s="20" t="s">
        <v>161</v>
      </c>
      <c r="B28" s="43"/>
      <c r="C28" s="43"/>
      <c r="D28" s="43"/>
      <c r="E28" s="43"/>
      <c r="F28" s="43"/>
      <c r="G28" s="43"/>
      <c r="H28" s="16"/>
    </row>
    <row r="29" spans="1:10">
      <c r="A29" s="16"/>
      <c r="F29" s="267" t="s">
        <v>162</v>
      </c>
    </row>
    <row r="30" spans="1:10" s="51" customFormat="1" ht="29.15">
      <c r="A30" s="51" t="s">
        <v>163</v>
      </c>
      <c r="C30" s="293" t="s">
        <v>164</v>
      </c>
      <c r="D30" s="294" t="s">
        <v>165</v>
      </c>
      <c r="E30" s="295" t="s">
        <v>141</v>
      </c>
      <c r="F30" s="295" t="s">
        <v>90</v>
      </c>
      <c r="G30" s="295" t="s">
        <v>166</v>
      </c>
    </row>
    <row r="31" spans="1:10">
      <c r="A31" t="s">
        <v>167</v>
      </c>
      <c r="C31" s="63">
        <f>_xlfn.XLOOKUP(A31,'Practice Inputs'!$A$28:$A$47,'Practice Inputs'!$H$28:$H$47,0)</f>
        <v>0</v>
      </c>
      <c r="D31" s="40"/>
      <c r="E31" s="184">
        <f>_xlfn.XLOOKUP("General practitioner",'Change Inputs'!$C$542:$H$542,'Change Inputs'!$C544:$H544,0)+SUMIFS('Change Inputs'!$D$551:$D$552,'Change Inputs'!$C$551:$C$552,"General practitioner",'Change Inputs'!A$551:A$552,A31)</f>
        <v>-0.30000000000000004</v>
      </c>
      <c r="F31" s="184">
        <f>_xlfn.XLOOKUP(F$30,'Change Inputs'!$C$542:$H$542,'Change Inputs'!$C$544:$H$544,0)+SUMIFS('Change Inputs'!$D$551:$D$552,'Change Inputs'!$C$551:$C$552,F$30,'Change Inputs'!A$551:A$552,A31)</f>
        <v>0</v>
      </c>
      <c r="G31" s="184">
        <f>SUM('Change Inputs'!J544:M544,'Change Inputs'!D551)-SUM(E31:F31)</f>
        <v>0.4</v>
      </c>
    </row>
    <row r="32" spans="1:10">
      <c r="A32" t="s">
        <v>168</v>
      </c>
      <c r="C32" s="63">
        <f>_xlfn.XLOOKUP(A32,'Practice Inputs'!$A$28:$A$47,'Practice Inputs'!$H$28:$H$47,0)</f>
        <v>1.5224575850268718</v>
      </c>
      <c r="D32" s="40"/>
      <c r="E32" s="184">
        <f>_xlfn.XLOOKUP("General practitioner",'Change Inputs'!$C$542:$H$542,'Change Inputs'!$C545:$H545,0)+SUMIFS('Change Inputs'!$D$551:$D$552,'Change Inputs'!$C$551:$C$552,"General practitioner",'Change Inputs'!A$551:A$552,A32)</f>
        <v>0</v>
      </c>
      <c r="F32" s="184">
        <f>_xlfn.XLOOKUP(F$30,'Change Inputs'!$C$542:$H$542,'Change Inputs'!$C$544:$H$544,0)+SUMIFS('Change Inputs'!$D$551:$D$552,'Change Inputs'!$C$551:$C$552,F$30,'Change Inputs'!A$551:A$552,A32)</f>
        <v>0.1</v>
      </c>
      <c r="G32" s="184">
        <f>SUM('Change Inputs'!J545:M545,'Change Inputs'!D552)-SUM(E32:F32)</f>
        <v>0</v>
      </c>
      <c r="I32" s="64"/>
    </row>
    <row r="34" spans="1:14">
      <c r="A34" t="s">
        <v>169</v>
      </c>
      <c r="K34" s="87" t="s">
        <v>170</v>
      </c>
    </row>
    <row r="35" spans="1:14">
      <c r="A35" t="s">
        <v>171</v>
      </c>
      <c r="F35" s="184"/>
      <c r="G35" s="184"/>
      <c r="H35" s="184"/>
      <c r="I35" s="87" t="s">
        <v>0</v>
      </c>
    </row>
    <row r="36" spans="1:14">
      <c r="F36" s="184"/>
      <c r="G36" s="184"/>
      <c r="H36" s="184"/>
      <c r="I36" s="64"/>
    </row>
    <row r="37" spans="1:14">
      <c r="G37" s="65"/>
      <c r="I37" s="65"/>
    </row>
    <row r="38" spans="1:14" ht="15.9">
      <c r="A38" s="43" t="s">
        <v>172</v>
      </c>
      <c r="B38" s="43"/>
      <c r="C38" s="43"/>
      <c r="D38" s="43"/>
      <c r="E38" s="43"/>
      <c r="F38" s="43"/>
      <c r="G38" s="43"/>
    </row>
    <row r="39" spans="1:14">
      <c r="A39" s="20" t="s">
        <v>173</v>
      </c>
      <c r="B39" s="16"/>
      <c r="C39" s="16"/>
      <c r="D39" s="16"/>
      <c r="E39" s="16"/>
      <c r="F39" s="16"/>
      <c r="G39" s="16"/>
    </row>
    <row r="40" spans="1:14">
      <c r="A40" t="s">
        <v>174</v>
      </c>
      <c r="B40" s="16"/>
    </row>
    <row r="41" spans="1:14">
      <c r="A41" s="20" t="s">
        <v>175</v>
      </c>
      <c r="B41" s="16"/>
      <c r="C41" s="16"/>
      <c r="D41" s="16"/>
      <c r="E41" s="16"/>
      <c r="F41" s="16"/>
      <c r="G41" s="16"/>
    </row>
    <row r="42" spans="1:14">
      <c r="A42" s="20" t="s">
        <v>176</v>
      </c>
    </row>
    <row r="43" spans="1:14">
      <c r="E43" s="16"/>
      <c r="F43" s="64" t="s">
        <v>119</v>
      </c>
    </row>
    <row r="44" spans="1:14">
      <c r="A44" s="16" t="s">
        <v>177</v>
      </c>
      <c r="E44" s="40"/>
      <c r="F44" s="148" t="s">
        <v>178</v>
      </c>
    </row>
    <row r="45" spans="1:14">
      <c r="A45" s="16" t="s">
        <v>179</v>
      </c>
      <c r="E45" s="40"/>
      <c r="F45" s="148" t="s">
        <v>178</v>
      </c>
    </row>
    <row r="46" spans="1:14">
      <c r="F46" s="64"/>
    </row>
    <row r="47" spans="1:14">
      <c r="F47" s="64"/>
    </row>
    <row r="48" spans="1:14" ht="18.899999999999999" thickBot="1">
      <c r="A48" s="118" t="s">
        <v>85</v>
      </c>
      <c r="B48" s="119"/>
      <c r="C48" s="119"/>
      <c r="D48" s="119"/>
      <c r="E48" s="119"/>
      <c r="F48" s="119"/>
      <c r="G48" s="119"/>
      <c r="H48" s="119"/>
      <c r="I48" s="119"/>
      <c r="J48" s="119"/>
      <c r="K48" s="119"/>
      <c r="L48" s="119"/>
      <c r="M48" s="119"/>
      <c r="N48" s="119"/>
    </row>
    <row r="50" spans="1:13" ht="15.9">
      <c r="B50" s="25"/>
      <c r="C50" s="140" t="s">
        <v>86</v>
      </c>
      <c r="D50" s="140"/>
      <c r="E50" s="140"/>
      <c r="F50" s="141" t="s">
        <v>51</v>
      </c>
      <c r="I50" s="142"/>
      <c r="J50" s="140" t="s">
        <v>87</v>
      </c>
    </row>
    <row r="51" spans="1:13">
      <c r="A51" s="130"/>
      <c r="B51" s="131"/>
      <c r="C51" s="131" t="s">
        <v>56</v>
      </c>
      <c r="D51" s="131" t="s">
        <v>88</v>
      </c>
      <c r="E51" s="143" t="s">
        <v>89</v>
      </c>
      <c r="F51" s="138" t="s">
        <v>49</v>
      </c>
      <c r="G51" s="131" t="s">
        <v>90</v>
      </c>
      <c r="H51" s="131" t="s">
        <v>91</v>
      </c>
      <c r="I51" s="139" t="s">
        <v>92</v>
      </c>
      <c r="J51" s="130" t="s">
        <v>49</v>
      </c>
      <c r="K51" s="130" t="s">
        <v>90</v>
      </c>
      <c r="L51" s="130" t="s">
        <v>91</v>
      </c>
      <c r="M51" s="130" t="s">
        <v>142</v>
      </c>
    </row>
    <row r="52" spans="1:13">
      <c r="A52" t="s">
        <v>147</v>
      </c>
      <c r="C52" s="72">
        <f>'Change Inputs'!C598</f>
        <v>0</v>
      </c>
      <c r="D52" s="72">
        <f>'Change Inputs'!D598</f>
        <v>0</v>
      </c>
      <c r="E52" s="73">
        <f>C52-D52</f>
        <v>0</v>
      </c>
      <c r="F52" s="132">
        <f>'Change Inputs'!F598</f>
        <v>0</v>
      </c>
      <c r="G52" s="25">
        <f>'Change Inputs'!G598</f>
        <v>0</v>
      </c>
      <c r="H52" s="25">
        <f>'Change Inputs'!H598+'Change Inputs'!I598</f>
        <v>0</v>
      </c>
      <c r="I52" s="133">
        <f t="shared" ref="I52:I55" si="0">SUM(F52:H52)</f>
        <v>0</v>
      </c>
      <c r="J52" s="55">
        <f>'Change Inputs'!K609+'Change Inputs'!K610</f>
        <v>0</v>
      </c>
      <c r="K52" s="55">
        <f>'Change Inputs'!K611</f>
        <v>0</v>
      </c>
      <c r="L52" s="55">
        <f>'Change Inputs'!K633</f>
        <v>0</v>
      </c>
      <c r="M52" s="55">
        <f>'Change Inputs'!K634</f>
        <v>0</v>
      </c>
    </row>
    <row r="53" spans="1:13">
      <c r="A53" t="s">
        <v>148</v>
      </c>
      <c r="C53" s="72">
        <f>'Change Inputs'!C599</f>
        <v>0</v>
      </c>
      <c r="D53" s="72">
        <f>'Change Inputs'!D599</f>
        <v>0</v>
      </c>
      <c r="E53" s="73">
        <f t="shared" ref="E53:E54" si="1">C53-D53</f>
        <v>0</v>
      </c>
      <c r="F53" s="132">
        <f>'Change Inputs'!F599</f>
        <v>0</v>
      </c>
      <c r="G53" s="25">
        <f>'Change Inputs'!G599</f>
        <v>0</v>
      </c>
      <c r="H53" s="25">
        <f>'Change Inputs'!H599+'Change Inputs'!I599</f>
        <v>0</v>
      </c>
      <c r="I53" s="133">
        <f t="shared" si="0"/>
        <v>0</v>
      </c>
      <c r="J53" s="55">
        <f>'Change Inputs'!L609+'Change Inputs'!L610</f>
        <v>0</v>
      </c>
      <c r="K53" s="55">
        <f>'Change Inputs'!L611</f>
        <v>0</v>
      </c>
      <c r="L53" s="55">
        <f>'Change Inputs'!L633</f>
        <v>0</v>
      </c>
      <c r="M53" s="55">
        <f>'Change Inputs'!L634</f>
        <v>0</v>
      </c>
    </row>
    <row r="54" spans="1:13">
      <c r="A54" t="s">
        <v>180</v>
      </c>
      <c r="C54" s="72">
        <f>'Change Inputs'!C600</f>
        <v>0</v>
      </c>
      <c r="D54" s="72">
        <f>'Change Inputs'!D600</f>
        <v>0</v>
      </c>
      <c r="E54" s="73">
        <f t="shared" si="1"/>
        <v>0</v>
      </c>
      <c r="F54" s="132">
        <f>'Change Inputs'!F600</f>
        <v>0</v>
      </c>
      <c r="G54" s="25">
        <f>'Change Inputs'!G600</f>
        <v>0</v>
      </c>
      <c r="H54" s="25">
        <f>'Change Inputs'!H600+'Change Inputs'!I600</f>
        <v>0</v>
      </c>
      <c r="I54" s="133">
        <f t="shared" si="0"/>
        <v>0</v>
      </c>
      <c r="J54" s="55">
        <f>'Change Inputs'!M609+'Change Inputs'!M610</f>
        <v>0</v>
      </c>
      <c r="K54" s="55">
        <f>'Change Inputs'!M611</f>
        <v>0</v>
      </c>
      <c r="L54" s="55">
        <f>'Change Inputs'!M633</f>
        <v>0</v>
      </c>
      <c r="M54" s="55">
        <f>'Change Inputs'!M634</f>
        <v>0</v>
      </c>
    </row>
    <row r="55" spans="1:13">
      <c r="A55" s="130" t="s">
        <v>150</v>
      </c>
      <c r="B55" s="130"/>
      <c r="C55" s="136">
        <f>'Change Inputs'!C601</f>
        <v>0</v>
      </c>
      <c r="D55" s="136">
        <f>'Change Inputs'!D601</f>
        <v>0</v>
      </c>
      <c r="E55" s="137">
        <f>C55-D55</f>
        <v>0</v>
      </c>
      <c r="F55" s="138">
        <f>'Change Inputs'!F601</f>
        <v>0</v>
      </c>
      <c r="G55" s="131">
        <f>'Change Inputs'!G601</f>
        <v>0</v>
      </c>
      <c r="H55" s="131">
        <f>'Change Inputs'!H601+'Change Inputs'!I601</f>
        <v>0</v>
      </c>
      <c r="I55" s="139">
        <f t="shared" si="0"/>
        <v>0</v>
      </c>
      <c r="J55" s="179">
        <f>'Change Inputs'!N609+'Change Inputs'!N610</f>
        <v>0</v>
      </c>
      <c r="K55" s="179">
        <f>'Change Inputs'!N611</f>
        <v>0</v>
      </c>
      <c r="L55" s="179">
        <f>'Change Inputs'!N633</f>
        <v>0</v>
      </c>
      <c r="M55" s="179">
        <f>'Change Inputs'!N634</f>
        <v>0</v>
      </c>
    </row>
    <row r="56" spans="1:13">
      <c r="A56" t="s">
        <v>92</v>
      </c>
      <c r="C56" s="73">
        <f t="shared" ref="C56:K56" si="2">SUM(C52:C55)</f>
        <v>0</v>
      </c>
      <c r="D56" s="73">
        <f>SUM(D52:D55)</f>
        <v>0</v>
      </c>
      <c r="E56" s="73">
        <f>SUM(E52:E55)</f>
        <v>0</v>
      </c>
      <c r="F56" s="134">
        <f t="shared" si="2"/>
        <v>0</v>
      </c>
      <c r="G56" s="77">
        <f t="shared" si="2"/>
        <v>0</v>
      </c>
      <c r="H56" s="77">
        <f t="shared" si="2"/>
        <v>0</v>
      </c>
      <c r="I56" s="135">
        <f>SUM(I52:I55)</f>
        <v>0</v>
      </c>
      <c r="J56" s="74">
        <f>SUM(J52:J55)</f>
        <v>0</v>
      </c>
      <c r="K56" s="74">
        <f t="shared" si="2"/>
        <v>0</v>
      </c>
      <c r="L56" s="74">
        <f>SUM(L52:L55)</f>
        <v>0</v>
      </c>
      <c r="M56" s="74">
        <f>SUM(M52:M55)</f>
        <v>0</v>
      </c>
    </row>
    <row r="57" spans="1:13">
      <c r="E57" s="24" t="str">
        <f>IF(E56&gt;0,"gain","loss")</f>
        <v>loss</v>
      </c>
    </row>
    <row r="59" spans="1:13">
      <c r="A59" s="57" t="s">
        <v>95</v>
      </c>
    </row>
    <row r="60" spans="1:13">
      <c r="A60" t="s">
        <v>181</v>
      </c>
    </row>
  </sheetData>
  <sheetProtection sheet="1" objects="1" scenarios="1"/>
  <protectedRanges>
    <protectedRange sqref="G20 G25 D31:D32 E44:E45 E8:E11" name="UserInputs"/>
  </protectedRanges>
  <mergeCells count="1">
    <mergeCell ref="A5:L5"/>
  </mergeCells>
  <conditionalFormatting sqref="E57">
    <cfRule type="expression" dxfId="1" priority="1">
      <formula>E57="loss"</formula>
    </cfRule>
    <cfRule type="expression" dxfId="0" priority="2">
      <formula>E57="gain"</formula>
    </cfRule>
  </conditionalFormatting>
  <dataValidations count="1">
    <dataValidation type="list" allowBlank="1" showInputMessage="1" showErrorMessage="1" sqref="G25 E8:E11" xr:uid="{1824B411-A32E-403E-A8A4-B66CD38A5801}">
      <formula1>"Yes, No"</formula1>
    </dataValidation>
  </dataValidations>
  <hyperlinks>
    <hyperlink ref="G21" r:id="rId1" xr:uid="{6AE2F0EA-D85D-437A-BD5F-C0DCC01D3B1E}"/>
    <hyperlink ref="I35" r:id="rId2" xr:uid="{BC301D11-513C-4FFE-903C-0F82D3EDC992}"/>
    <hyperlink ref="K34" location="bookmark_ca_savings" display="Time saving assumptions" xr:uid="{B52188DF-C685-4EA2-8E51-D3280A3F5B3B}"/>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447-7578-4FEB-8B62-93C89C95977C}">
  <sheetPr>
    <tabColor rgb="FF522668"/>
  </sheetPr>
  <dimension ref="A1:Z160"/>
  <sheetViews>
    <sheetView showGridLines="0" zoomScale="85" zoomScaleNormal="85" workbookViewId="0">
      <selection activeCell="M9" sqref="M9"/>
    </sheetView>
  </sheetViews>
  <sheetFormatPr defaultRowHeight="14.6"/>
  <cols>
    <col min="1" max="2" width="11.07421875" customWidth="1"/>
    <col min="3" max="4" width="11.53515625" customWidth="1"/>
    <col min="5" max="5" width="10" bestFit="1" customWidth="1"/>
    <col min="6" max="6" width="1.4609375" customWidth="1"/>
    <col min="7" max="7" width="11" bestFit="1" customWidth="1"/>
    <col min="8" max="10" width="9.84375" bestFit="1" customWidth="1"/>
    <col min="11" max="11" width="10.4609375" customWidth="1"/>
    <col min="12" max="12" width="1.07421875" customWidth="1"/>
    <col min="13" max="17" width="9.84375" customWidth="1"/>
    <col min="18" max="18" width="8.84375" customWidth="1"/>
  </cols>
  <sheetData>
    <row r="1" spans="1:26" s="1" customFormat="1" ht="30.65" customHeight="1">
      <c r="A1" s="79" t="s">
        <v>182</v>
      </c>
      <c r="B1" s="12"/>
      <c r="C1" s="12"/>
      <c r="D1" s="12"/>
      <c r="E1" s="12"/>
      <c r="F1" s="12"/>
      <c r="G1" s="12"/>
      <c r="H1" s="12"/>
      <c r="I1" s="12"/>
      <c r="J1" s="12"/>
      <c r="K1" s="12"/>
      <c r="L1" s="12"/>
      <c r="M1" s="12"/>
      <c r="N1" s="12"/>
      <c r="O1" s="12"/>
      <c r="P1" s="12"/>
      <c r="Q1" s="12"/>
      <c r="R1" s="12"/>
      <c r="S1" s="12"/>
      <c r="T1" s="12"/>
      <c r="U1" s="12"/>
      <c r="V1" s="12"/>
      <c r="W1" s="12"/>
      <c r="X1" s="12"/>
      <c r="Y1" s="12"/>
      <c r="Z1" s="12"/>
    </row>
    <row r="2" spans="1:26" s="1" customFormat="1" ht="20.399999999999999" customHeight="1">
      <c r="A2" s="17"/>
      <c r="B2" s="13"/>
      <c r="C2" s="13"/>
      <c r="D2" s="13"/>
      <c r="E2" s="13"/>
      <c r="F2" s="13"/>
      <c r="G2" s="13"/>
      <c r="H2" s="13"/>
      <c r="I2" s="13"/>
      <c r="J2" s="13"/>
      <c r="K2" s="13"/>
      <c r="L2" s="13"/>
      <c r="M2" s="13"/>
      <c r="N2" s="13"/>
      <c r="O2" s="13"/>
      <c r="P2" s="13"/>
      <c r="Q2" s="13"/>
      <c r="R2" s="13"/>
      <c r="S2" s="13"/>
      <c r="T2" s="13"/>
      <c r="U2" s="13"/>
      <c r="V2" s="13"/>
      <c r="W2" s="13"/>
      <c r="X2" s="13"/>
      <c r="Y2" s="13"/>
      <c r="Z2" s="13"/>
    </row>
    <row r="3" spans="1:26">
      <c r="A3" s="4"/>
    </row>
    <row r="4" spans="1:26" ht="18.45">
      <c r="G4" s="15" t="s">
        <v>183</v>
      </c>
      <c r="M4" s="15" t="s">
        <v>184</v>
      </c>
    </row>
    <row r="5" spans="1:26" ht="18.45">
      <c r="A5" s="89"/>
      <c r="B5" s="90"/>
      <c r="C5" s="90"/>
      <c r="D5" s="90"/>
      <c r="E5" s="90"/>
      <c r="F5" s="199"/>
      <c r="G5" s="91" t="s">
        <v>185</v>
      </c>
      <c r="H5" s="91"/>
      <c r="I5" s="91"/>
      <c r="J5" s="91"/>
      <c r="K5" s="91"/>
      <c r="M5" s="201" t="s">
        <v>185</v>
      </c>
      <c r="N5" s="201"/>
      <c r="O5" s="201"/>
      <c r="P5" s="201"/>
      <c r="Q5" s="201"/>
      <c r="R5" s="197"/>
      <c r="S5" s="15" t="s">
        <v>186</v>
      </c>
      <c r="T5" s="197"/>
      <c r="U5" s="197"/>
      <c r="V5" s="197"/>
      <c r="W5" s="197"/>
      <c r="X5" s="197"/>
      <c r="Y5" s="197"/>
      <c r="Z5" s="197"/>
    </row>
    <row r="6" spans="1:26">
      <c r="A6" s="92"/>
      <c r="B6" s="90"/>
      <c r="C6" s="90"/>
      <c r="D6" s="90"/>
      <c r="E6" s="93" t="s">
        <v>187</v>
      </c>
      <c r="G6" s="93" t="s">
        <v>188</v>
      </c>
      <c r="H6" s="93" t="s">
        <v>189</v>
      </c>
      <c r="I6" s="93" t="s">
        <v>190</v>
      </c>
      <c r="J6" s="93" t="s">
        <v>191</v>
      </c>
      <c r="K6" s="93" t="s">
        <v>192</v>
      </c>
      <c r="L6" s="200" t="s">
        <v>187</v>
      </c>
      <c r="M6" s="202" t="s">
        <v>188</v>
      </c>
      <c r="N6" s="202" t="s">
        <v>189</v>
      </c>
      <c r="O6" s="202" t="s">
        <v>190</v>
      </c>
      <c r="P6" s="202" t="s">
        <v>191</v>
      </c>
      <c r="Q6" s="202" t="s">
        <v>192</v>
      </c>
    </row>
    <row r="7" spans="1:26">
      <c r="A7" s="76" t="s">
        <v>193</v>
      </c>
      <c r="B7" s="75"/>
      <c r="C7" s="75"/>
      <c r="D7" s="75"/>
      <c r="E7" s="75"/>
      <c r="F7" s="16"/>
      <c r="G7" s="75"/>
      <c r="H7" s="75"/>
      <c r="I7" s="75"/>
      <c r="J7" s="75"/>
      <c r="K7" s="75"/>
      <c r="M7" s="203"/>
      <c r="N7" s="203"/>
      <c r="O7" s="203"/>
      <c r="P7" s="203"/>
      <c r="Q7" s="203"/>
    </row>
    <row r="8" spans="1:26">
      <c r="B8" t="s">
        <v>193</v>
      </c>
      <c r="E8" s="97">
        <f>used_esu</f>
        <v>5000</v>
      </c>
      <c r="F8" s="97"/>
      <c r="G8" s="97">
        <f>E8*(1+G9)</f>
        <v>5000</v>
      </c>
      <c r="H8" s="97">
        <f>G8*(1+H9)</f>
        <v>5000</v>
      </c>
      <c r="I8" s="97">
        <f>H8*(1+I9)</f>
        <v>5000</v>
      </c>
      <c r="J8" s="97">
        <f>I8*(1+J9)</f>
        <v>5000</v>
      </c>
      <c r="K8" s="97">
        <f>J8*(1+K9)</f>
        <v>5000</v>
      </c>
      <c r="L8" s="197"/>
      <c r="M8" s="97">
        <f>$E$8*(1+M9)</f>
        <v>5000</v>
      </c>
      <c r="N8" s="97">
        <f>M8*(1+N9)</f>
        <v>5000</v>
      </c>
      <c r="O8" s="97">
        <f>N8*(1+O9)</f>
        <v>5000</v>
      </c>
      <c r="P8" s="97">
        <f>O8*(1+P9)</f>
        <v>5000</v>
      </c>
      <c r="Q8" s="97">
        <f>P8*(1+Q9)</f>
        <v>5000</v>
      </c>
    </row>
    <row r="9" spans="1:26" s="197" customFormat="1">
      <c r="C9" s="197" t="s">
        <v>194</v>
      </c>
      <c r="G9" s="230">
        <v>0</v>
      </c>
      <c r="H9" s="230">
        <v>0</v>
      </c>
      <c r="I9" s="230">
        <v>0</v>
      </c>
      <c r="J9" s="230">
        <v>0</v>
      </c>
      <c r="K9" s="230">
        <v>0</v>
      </c>
      <c r="M9" s="94">
        <f>G9</f>
        <v>0</v>
      </c>
      <c r="N9" s="94">
        <f t="shared" ref="N9:Q9" si="0">H9</f>
        <v>0</v>
      </c>
      <c r="O9" s="94">
        <f t="shared" si="0"/>
        <v>0</v>
      </c>
      <c r="P9" s="94">
        <f t="shared" si="0"/>
        <v>0</v>
      </c>
      <c r="Q9" s="94">
        <f t="shared" si="0"/>
        <v>0</v>
      </c>
      <c r="R9"/>
      <c r="S9"/>
      <c r="T9"/>
      <c r="U9"/>
      <c r="V9"/>
      <c r="W9"/>
      <c r="X9"/>
      <c r="Y9"/>
      <c r="Z9"/>
    </row>
    <row r="11" spans="1:26">
      <c r="A11" s="76" t="s">
        <v>48</v>
      </c>
      <c r="B11" s="75"/>
      <c r="C11" s="75"/>
      <c r="D11" s="75"/>
      <c r="E11" s="75"/>
      <c r="F11" s="16"/>
      <c r="G11" s="75"/>
      <c r="H11" s="75"/>
      <c r="I11" s="75"/>
      <c r="J11" s="75"/>
      <c r="K11" s="75"/>
      <c r="M11" s="203"/>
      <c r="N11" s="203"/>
      <c r="O11" s="203"/>
      <c r="P11" s="203"/>
      <c r="Q11" s="203"/>
    </row>
    <row r="12" spans="1:26">
      <c r="E12" s="97"/>
      <c r="F12" s="97"/>
    </row>
    <row r="13" spans="1:26">
      <c r="B13" t="s">
        <v>195</v>
      </c>
      <c r="E13" s="97">
        <f>'Practice Inputs'!H54+'Practice Inputs'!H55</f>
        <v>18500</v>
      </c>
      <c r="F13" s="97"/>
      <c r="G13" s="97">
        <f>G14*G$8</f>
        <v>18500</v>
      </c>
      <c r="H13" s="97">
        <f>H14*H$8</f>
        <v>18500</v>
      </c>
      <c r="I13" s="97">
        <f>I14*I$8</f>
        <v>18500</v>
      </c>
      <c r="J13" s="97">
        <f>J14*J$8</f>
        <v>18500</v>
      </c>
      <c r="K13" s="97">
        <f>K14*K$8</f>
        <v>18500</v>
      </c>
      <c r="L13" s="197"/>
      <c r="M13" s="97">
        <f>G13+G127</f>
        <v>18500</v>
      </c>
      <c r="N13" s="97">
        <f>H13+H127</f>
        <v>18500</v>
      </c>
      <c r="O13" s="97">
        <f>I13+I127</f>
        <v>18500</v>
      </c>
      <c r="P13" s="97">
        <f>J13+J127</f>
        <v>18500</v>
      </c>
      <c r="Q13" s="97">
        <f>K13+K127</f>
        <v>18500</v>
      </c>
    </row>
    <row r="14" spans="1:26">
      <c r="C14" t="s">
        <v>52</v>
      </c>
      <c r="E14" s="98">
        <f>E13/E$8</f>
        <v>3.7</v>
      </c>
      <c r="F14" s="98"/>
      <c r="G14" s="99">
        <f>E14</f>
        <v>3.7</v>
      </c>
      <c r="H14" s="99">
        <f>G14</f>
        <v>3.7</v>
      </c>
      <c r="I14" s="99">
        <f t="shared" ref="H14:K16" si="1">H14</f>
        <v>3.7</v>
      </c>
      <c r="J14" s="99">
        <f t="shared" si="1"/>
        <v>3.7</v>
      </c>
      <c r="K14" s="99">
        <f t="shared" si="1"/>
        <v>3.7</v>
      </c>
      <c r="L14" s="197"/>
      <c r="M14" s="98">
        <f>M13/M$8</f>
        <v>3.7</v>
      </c>
      <c r="N14" s="98">
        <f>N13/N$8</f>
        <v>3.7</v>
      </c>
      <c r="O14" s="98">
        <f>O13/O$8</f>
        <v>3.7</v>
      </c>
      <c r="P14" s="98">
        <f>P13/P$8</f>
        <v>3.7</v>
      </c>
      <c r="Q14" s="98">
        <f>Q13/Q$8</f>
        <v>3.7</v>
      </c>
    </row>
    <row r="15" spans="1:26">
      <c r="B15" t="s">
        <v>196</v>
      </c>
      <c r="E15" s="97">
        <f>SUM('Practice Inputs'!$H$56:$H$67)</f>
        <v>2500</v>
      </c>
      <c r="F15" s="97"/>
      <c r="G15" s="97">
        <f>G16*G$8</f>
        <v>2500</v>
      </c>
      <c r="H15" s="97">
        <f>H16*H$8</f>
        <v>2500</v>
      </c>
      <c r="I15" s="97">
        <f>I16*I$8</f>
        <v>2500</v>
      </c>
      <c r="J15" s="97">
        <f>J16*J$8</f>
        <v>2500</v>
      </c>
      <c r="K15" s="97">
        <f>K16*K$8</f>
        <v>2500</v>
      </c>
      <c r="L15" s="197"/>
      <c r="M15" s="97">
        <f>G15+G128</f>
        <v>2500</v>
      </c>
      <c r="N15" s="97">
        <f>H15+H128</f>
        <v>2500</v>
      </c>
      <c r="O15" s="97">
        <f>I15+I128</f>
        <v>2500</v>
      </c>
      <c r="P15" s="97">
        <f>J15+J128</f>
        <v>2500</v>
      </c>
      <c r="Q15" s="97">
        <f>K15+K128</f>
        <v>2500</v>
      </c>
    </row>
    <row r="16" spans="1:26">
      <c r="C16" t="s">
        <v>52</v>
      </c>
      <c r="E16" s="98">
        <f>E15/E$8</f>
        <v>0.5</v>
      </c>
      <c r="F16" s="98"/>
      <c r="G16" s="99">
        <f>E16</f>
        <v>0.5</v>
      </c>
      <c r="H16" s="99">
        <f t="shared" si="1"/>
        <v>0.5</v>
      </c>
      <c r="I16" s="99">
        <f t="shared" si="1"/>
        <v>0.5</v>
      </c>
      <c r="J16" s="99">
        <f t="shared" si="1"/>
        <v>0.5</v>
      </c>
      <c r="K16" s="99">
        <f t="shared" si="1"/>
        <v>0.5</v>
      </c>
      <c r="L16" s="197"/>
      <c r="M16" s="98">
        <f>M15/M$8</f>
        <v>0.5</v>
      </c>
      <c r="N16" s="98">
        <f>N15/N$8</f>
        <v>0.5</v>
      </c>
      <c r="O16" s="98">
        <f>O15/O$8</f>
        <v>0.5</v>
      </c>
      <c r="P16" s="98">
        <f>P15/P$8</f>
        <v>0.5</v>
      </c>
      <c r="Q16" s="98">
        <f>Q15/Q$8</f>
        <v>0.5</v>
      </c>
    </row>
    <row r="17" spans="1:19">
      <c r="B17" t="s">
        <v>197</v>
      </c>
      <c r="E17" s="97">
        <f>'Change Inputs'!$D$13</f>
        <v>0</v>
      </c>
      <c r="F17" s="97"/>
      <c r="G17" s="97">
        <f>G18*G$8</f>
        <v>0</v>
      </c>
      <c r="H17" s="97">
        <f>H18*H$8</f>
        <v>0</v>
      </c>
      <c r="I17" s="97">
        <f>I18*I$8</f>
        <v>0</v>
      </c>
      <c r="J17" s="97">
        <f>J18*J$8</f>
        <v>0</v>
      </c>
      <c r="K17" s="97">
        <f>K18*K$8</f>
        <v>0</v>
      </c>
      <c r="L17" s="197"/>
      <c r="M17" s="97">
        <f>G17+G129</f>
        <v>0</v>
      </c>
      <c r="N17" s="97">
        <f>H17+H129</f>
        <v>0</v>
      </c>
      <c r="O17" s="97">
        <f>I17+I129</f>
        <v>0</v>
      </c>
      <c r="P17" s="97">
        <f>J17+J129</f>
        <v>0</v>
      </c>
      <c r="Q17" s="97">
        <f>K17+K129</f>
        <v>0</v>
      </c>
    </row>
    <row r="18" spans="1:19">
      <c r="A18" s="39"/>
      <c r="C18" t="s">
        <v>52</v>
      </c>
      <c r="E18" s="98">
        <f>E17/E$8</f>
        <v>0</v>
      </c>
      <c r="F18" s="98"/>
      <c r="G18" s="99">
        <f>E18</f>
        <v>0</v>
      </c>
      <c r="H18" s="99">
        <f>G18</f>
        <v>0</v>
      </c>
      <c r="I18" s="99">
        <f t="shared" ref="I18:K18" si="2">H18</f>
        <v>0</v>
      </c>
      <c r="J18" s="99">
        <f t="shared" si="2"/>
        <v>0</v>
      </c>
      <c r="K18" s="99">
        <f t="shared" si="2"/>
        <v>0</v>
      </c>
      <c r="L18" s="197"/>
      <c r="M18" s="98">
        <f>M17/M$8</f>
        <v>0</v>
      </c>
      <c r="N18" s="98">
        <f>N17/N$8</f>
        <v>0</v>
      </c>
      <c r="O18" s="98">
        <f>O17/O$8</f>
        <v>0</v>
      </c>
      <c r="P18" s="98">
        <f>P17/P$8</f>
        <v>0</v>
      </c>
      <c r="Q18" s="98">
        <f>Q17/Q$8</f>
        <v>0</v>
      </c>
    </row>
    <row r="19" spans="1:19">
      <c r="A19" s="39"/>
      <c r="B19" s="57" t="s">
        <v>198</v>
      </c>
      <c r="E19" s="97">
        <f>E13+E15+E17</f>
        <v>21000</v>
      </c>
      <c r="F19" s="97">
        <f>E19</f>
        <v>21000</v>
      </c>
      <c r="G19" s="97">
        <f>G13+G15+G17</f>
        <v>21000</v>
      </c>
      <c r="H19" s="97">
        <f>H13+H15+H17</f>
        <v>21000</v>
      </c>
      <c r="I19" s="97">
        <f>I13+I15+I17</f>
        <v>21000</v>
      </c>
      <c r="J19" s="97">
        <f>J13+J15+J17</f>
        <v>21000</v>
      </c>
      <c r="K19" s="97">
        <f>K13+K15+K17</f>
        <v>21000</v>
      </c>
      <c r="L19" s="97">
        <f>E19</f>
        <v>21000</v>
      </c>
      <c r="M19" s="97">
        <f>M13+M15+M17</f>
        <v>21000</v>
      </c>
      <c r="N19" s="97">
        <f>N13+N15+N17</f>
        <v>21000</v>
      </c>
      <c r="O19" s="97">
        <f>O13+O15+O17</f>
        <v>21000</v>
      </c>
      <c r="P19" s="97">
        <f>P13+P15+P17</f>
        <v>21000</v>
      </c>
      <c r="Q19" s="97">
        <f>Q13+Q15+Q17</f>
        <v>21000</v>
      </c>
    </row>
    <row r="20" spans="1:19">
      <c r="A20" s="39"/>
      <c r="C20" t="s">
        <v>52</v>
      </c>
      <c r="E20" s="98">
        <f>E19/E$8</f>
        <v>4.2</v>
      </c>
      <c r="F20" s="98"/>
      <c r="G20" s="98">
        <f>G19/G$8</f>
        <v>4.2</v>
      </c>
      <c r="H20" s="98">
        <f>H19/H$8</f>
        <v>4.2</v>
      </c>
      <c r="I20" s="98">
        <f>I19/I$8</f>
        <v>4.2</v>
      </c>
      <c r="J20" s="98">
        <f>J19/J$8</f>
        <v>4.2</v>
      </c>
      <c r="K20" s="98">
        <f>K19/K$8</f>
        <v>4.2</v>
      </c>
      <c r="L20" s="197"/>
      <c r="M20" s="98">
        <f>M19/M$8</f>
        <v>4.2</v>
      </c>
      <c r="N20" s="98">
        <f>N19/N$8</f>
        <v>4.2</v>
      </c>
      <c r="O20" s="98">
        <f>O19/O$8</f>
        <v>4.2</v>
      </c>
      <c r="P20" s="98">
        <f>P19/P$8</f>
        <v>4.2</v>
      </c>
      <c r="Q20" s="98">
        <f>Q19/Q$8</f>
        <v>4.2</v>
      </c>
    </row>
    <row r="21" spans="1:19" ht="18.45">
      <c r="A21" s="39"/>
      <c r="E21" s="98"/>
      <c r="F21" s="98"/>
      <c r="G21" s="97"/>
      <c r="S21" s="15" t="s">
        <v>56</v>
      </c>
    </row>
    <row r="22" spans="1:19">
      <c r="A22" t="s">
        <v>199</v>
      </c>
      <c r="E22" s="97"/>
      <c r="F22" s="97"/>
      <c r="M22" s="97"/>
      <c r="N22" s="97"/>
      <c r="O22" s="97"/>
      <c r="P22" s="97"/>
      <c r="Q22" s="97"/>
    </row>
    <row r="23" spans="1:19">
      <c r="A23" t="s">
        <v>200</v>
      </c>
      <c r="E23" s="97"/>
      <c r="F23" s="97"/>
      <c r="G23" s="97"/>
      <c r="H23" s="97"/>
      <c r="I23" s="97"/>
      <c r="J23" s="97"/>
      <c r="K23" s="97"/>
      <c r="M23" s="97"/>
      <c r="N23" s="97"/>
      <c r="O23" s="97"/>
      <c r="P23" s="97"/>
      <c r="Q23" s="97"/>
    </row>
    <row r="24" spans="1:19">
      <c r="E24" s="97"/>
      <c r="F24" s="97"/>
      <c r="G24" s="97"/>
      <c r="H24" s="97"/>
      <c r="I24" s="97"/>
      <c r="J24" s="97"/>
      <c r="K24" s="97"/>
      <c r="M24" s="97"/>
      <c r="N24" s="97"/>
      <c r="O24" s="97"/>
      <c r="P24" s="97"/>
      <c r="Q24" s="97"/>
    </row>
    <row r="25" spans="1:19">
      <c r="A25" s="76" t="s">
        <v>89</v>
      </c>
      <c r="B25" s="75"/>
      <c r="C25" s="75"/>
      <c r="D25" s="75"/>
      <c r="E25" s="75"/>
      <c r="F25" s="16"/>
      <c r="G25" s="75"/>
      <c r="H25" s="75"/>
      <c r="I25" s="75"/>
      <c r="J25" s="75"/>
      <c r="K25" s="75"/>
      <c r="M25" s="203"/>
      <c r="N25" s="203"/>
      <c r="O25" s="203"/>
      <c r="P25" s="203"/>
      <c r="Q25" s="203"/>
    </row>
    <row r="26" spans="1:19">
      <c r="B26" s="57" t="s">
        <v>56</v>
      </c>
    </row>
    <row r="27" spans="1:19">
      <c r="A27" s="4"/>
      <c r="C27" t="s">
        <v>201</v>
      </c>
      <c r="E27" s="88">
        <f>'Practice Inputs'!D101</f>
        <v>688522.86638619483</v>
      </c>
      <c r="F27" s="88"/>
      <c r="G27" s="88">
        <f>$E27+(G13-$E13)*IFERROR(SUMPRODUCT('Practice Inputs'!$H$54:$H$55,'Practice Inputs'!$K$54:$K$55)/SUM('Practice Inputs'!$H$54:$H$55),0)+(G15-$E15)*IFERROR(SUMPRODUCT('Practice Inputs'!$H$56:$H$67,'Practice Inputs'!$K$56:$K$67)/SUM('Practice Inputs'!$H$56:$H$67),0)+(G17-$E17)*IFERROR('Change Inputs'!$D$15/'Change Inputs'!$D$14,0)</f>
        <v>688522.86638619483</v>
      </c>
      <c r="H27" s="88">
        <f>$E27+(H13-$E13)*IFERROR(SUMPRODUCT('Practice Inputs'!$H$54:$H$55,'Practice Inputs'!$K$54:$K$55)/SUM('Practice Inputs'!$H$54:$H$55),0)+(H15-$E15)*IFERROR(SUMPRODUCT('Practice Inputs'!$H$56:$H$67,'Practice Inputs'!$K$56:$K$67)/SUM('Practice Inputs'!$H$56:$H$67),0)+(H17-$E17)*IFERROR('Change Inputs'!$D$15/'Change Inputs'!$D$14,0)</f>
        <v>688522.86638619483</v>
      </c>
      <c r="I27" s="88">
        <f>$E27+(I13-$E13)*IFERROR(SUMPRODUCT('Practice Inputs'!$H$54:$H$55,'Practice Inputs'!$K$54:$K$55)/SUM('Practice Inputs'!$H$54:$H$55),0)+(I15-$E15)*IFERROR(SUMPRODUCT('Practice Inputs'!$H$56:$H$67,'Practice Inputs'!$K$56:$K$67)/SUM('Practice Inputs'!$H$56:$H$67),0)+(I17-$E17)*IFERROR('Change Inputs'!$D$15/'Change Inputs'!$D$14,0)</f>
        <v>688522.86638619483</v>
      </c>
      <c r="J27" s="88">
        <f>$E27+(J13-$E13)*IFERROR(SUMPRODUCT('Practice Inputs'!$H$54:$H$55,'Practice Inputs'!$K$54:$K$55)/SUM('Practice Inputs'!$H$54:$H$55),0)+(J15-$E15)*IFERROR(SUMPRODUCT('Practice Inputs'!$H$56:$H$67,'Practice Inputs'!$K$56:$K$67)/SUM('Practice Inputs'!$H$56:$H$67),0)+(J17-$E17)*IFERROR('Change Inputs'!$D$15/'Change Inputs'!$D$14,0)</f>
        <v>688522.86638619483</v>
      </c>
      <c r="K27" s="88">
        <f>$E27+(K13-$E13)*IFERROR(SUMPRODUCT('Practice Inputs'!$H$54:$H$55,'Practice Inputs'!$K$54:$K$55)/SUM('Practice Inputs'!$H$54:$H$55),0)+(K15-$E15)*IFERROR(SUMPRODUCT('Practice Inputs'!$H$56:$H$67,'Practice Inputs'!$K$56:$K$67)/SUM('Practice Inputs'!$H$56:$H$67),0)+(K17-$E17)*IFERROR('Change Inputs'!$D$15/'Change Inputs'!$D$14,0)</f>
        <v>688522.86638619483</v>
      </c>
      <c r="L27" s="197"/>
      <c r="M27" s="88">
        <f>G27+SUM(G80:G91)</f>
        <v>688522.86638619483</v>
      </c>
      <c r="N27" s="88">
        <f>H27+SUM(H80:H91)</f>
        <v>688522.86638619483</v>
      </c>
      <c r="O27" s="88">
        <f>I27+SUM(I80:I91)</f>
        <v>688522.86638619483</v>
      </c>
      <c r="P27" s="88">
        <f>J27+SUM(J80:J91)</f>
        <v>688522.86638619483</v>
      </c>
      <c r="Q27" s="88">
        <f>K27+SUM(K80:K91)</f>
        <v>688522.86638619483</v>
      </c>
    </row>
    <row r="28" spans="1:19">
      <c r="C28" t="s">
        <v>202</v>
      </c>
      <c r="E28" s="88">
        <f>'Practice Inputs'!D91</f>
        <v>1371458.87586272</v>
      </c>
      <c r="F28" s="88"/>
      <c r="G28" s="88">
        <f>$E$28/$E$8*G8</f>
        <v>1371458.8758627197</v>
      </c>
      <c r="H28" s="88">
        <f>$E$28/$E$8*H8</f>
        <v>1371458.8758627197</v>
      </c>
      <c r="I28" s="88">
        <f>$E$28/$E$8*I8</f>
        <v>1371458.8758627197</v>
      </c>
      <c r="J28" s="88">
        <f>$E$28/$E$8*J8</f>
        <v>1371458.8758627197</v>
      </c>
      <c r="K28" s="88">
        <f>$E$28/$E$8*K8</f>
        <v>1371458.8758627197</v>
      </c>
      <c r="L28" s="197"/>
      <c r="M28" s="88">
        <f>G28</f>
        <v>1371458.8758627197</v>
      </c>
      <c r="N28" s="88">
        <f t="shared" ref="N28:Q28" si="3">H28</f>
        <v>1371458.8758627197</v>
      </c>
      <c r="O28" s="88">
        <f t="shared" si="3"/>
        <v>1371458.8758627197</v>
      </c>
      <c r="P28" s="88">
        <f t="shared" si="3"/>
        <v>1371458.8758627197</v>
      </c>
      <c r="Q28" s="88">
        <f t="shared" si="3"/>
        <v>1371458.8758627197</v>
      </c>
    </row>
    <row r="29" spans="1:19">
      <c r="A29" s="4"/>
      <c r="C29" t="s">
        <v>203</v>
      </c>
      <c r="E29" s="88">
        <f>SUM(E27:E28)</f>
        <v>2059981.7422489147</v>
      </c>
      <c r="F29" s="231">
        <f>E29</f>
        <v>2059981.7422489147</v>
      </c>
      <c r="G29" s="88">
        <f>SUM(G27:G28)</f>
        <v>2059981.7422489147</v>
      </c>
      <c r="H29" s="88">
        <f>SUM(H27:H28)</f>
        <v>2059981.7422489147</v>
      </c>
      <c r="I29" s="88">
        <f>SUM(I27:I28)</f>
        <v>2059981.7422489147</v>
      </c>
      <c r="J29" s="88">
        <f>SUM(J27:J28)</f>
        <v>2059981.7422489147</v>
      </c>
      <c r="K29" s="88">
        <f>SUM(K27:K28)</f>
        <v>2059981.7422489147</v>
      </c>
      <c r="L29" s="88">
        <f>E29</f>
        <v>2059981.7422489147</v>
      </c>
      <c r="M29" s="88">
        <f>SUM(M27:M28)</f>
        <v>2059981.7422489147</v>
      </c>
      <c r="N29" s="88">
        <f>SUM(N27:N28)</f>
        <v>2059981.7422489147</v>
      </c>
      <c r="O29" s="88">
        <f>SUM(O27:O28)</f>
        <v>2059981.7422489147</v>
      </c>
      <c r="P29" s="88">
        <f>SUM(P27:P28)</f>
        <v>2059981.7422489147</v>
      </c>
      <c r="Q29" s="88">
        <f>SUM(Q27:Q28)</f>
        <v>2059981.7422489147</v>
      </c>
    </row>
    <row r="30" spans="1:19">
      <c r="A30" s="4"/>
      <c r="E30" s="197"/>
      <c r="F30" s="197"/>
      <c r="G30" s="197"/>
      <c r="H30" s="197"/>
      <c r="I30" s="197"/>
      <c r="J30" s="197"/>
      <c r="K30" s="197"/>
      <c r="L30" s="197"/>
      <c r="M30" s="197"/>
      <c r="N30" s="197"/>
      <c r="O30" s="197"/>
      <c r="P30" s="197"/>
      <c r="Q30" s="197"/>
    </row>
    <row r="31" spans="1:19">
      <c r="A31" s="61"/>
      <c r="B31" s="61" t="s">
        <v>57</v>
      </c>
      <c r="C31" s="16"/>
      <c r="D31" s="16"/>
      <c r="E31" s="232"/>
      <c r="F31" s="232"/>
      <c r="G31" s="232"/>
      <c r="H31" s="232"/>
      <c r="I31" s="232"/>
      <c r="J31" s="232"/>
      <c r="K31" s="232"/>
      <c r="L31" s="197"/>
      <c r="M31" s="232"/>
      <c r="N31" s="232"/>
      <c r="O31" s="232"/>
      <c r="P31" s="232"/>
      <c r="Q31" s="232"/>
    </row>
    <row r="32" spans="1:19">
      <c r="C32" t="s">
        <v>204</v>
      </c>
      <c r="E32" s="88">
        <f>'Practice Inputs'!D130+'Practice Inputs'!D141</f>
        <v>1696891.6576526703</v>
      </c>
      <c r="F32" s="88"/>
      <c r="G32" s="88">
        <f>$E32+(G13-$E13)*IFERROR(SUMPRODUCT('Practice Inputs'!$H$54:$H$55,'Practice Inputs'!$L$54:$L$55)/SUM('Practice Inputs'!$H$54:$H$55),0)+(G15-$E15)*IFERROR(SUMPRODUCT('Practice Inputs'!$H$56:$H$67,'Practice Inputs'!$L$56:$L$67)/SUM('Practice Inputs'!$H$56:$H$67),0)+(G17-$E17)*IFERROR('Change Inputs'!$K$83/'Change Inputs'!$F$83,0)</f>
        <v>1696891.6576526703</v>
      </c>
      <c r="H32" s="88">
        <f>$E32+(H13-$E13)*IFERROR(SUMPRODUCT('Practice Inputs'!$H$54:$H$55,'Practice Inputs'!$L$54:$L$55)/SUM('Practice Inputs'!$H$54:$H$55),0)+(H15-$E15)*IFERROR(SUMPRODUCT('Practice Inputs'!$H$56:$H$67,'Practice Inputs'!$L$56:$L$67)/SUM('Practice Inputs'!$H$56:$H$67),0)+(H17-$E17)*IFERROR('Change Inputs'!$K$83/'Change Inputs'!$F$83,0)</f>
        <v>1696891.6576526703</v>
      </c>
      <c r="I32" s="88">
        <f>$E32+(I13-$E13)*IFERROR(SUMPRODUCT('Practice Inputs'!$H$54:$H$55,'Practice Inputs'!$L$54:$L$55)/SUM('Practice Inputs'!$H$54:$H$55),0)+(I15-$E15)*IFERROR(SUMPRODUCT('Practice Inputs'!$H$56:$H$67,'Practice Inputs'!$L$56:$L$67)/SUM('Practice Inputs'!$H$56:$H$67),0)+(I17-$E17)*IFERROR('Change Inputs'!$K$83/'Change Inputs'!$F$83,0)</f>
        <v>1696891.6576526703</v>
      </c>
      <c r="J32" s="88">
        <f>$E32+(J13-$E13)*IFERROR(SUMPRODUCT('Practice Inputs'!$H$54:$H$55,'Practice Inputs'!$L$54:$L$55)/SUM('Practice Inputs'!$H$54:$H$55),0)+(J15-$E15)*IFERROR(SUMPRODUCT('Practice Inputs'!$H$56:$H$67,'Practice Inputs'!$L$56:$L$67)/SUM('Practice Inputs'!$H$56:$H$67),0)+(J17-$E17)*IFERROR('Change Inputs'!$K$83/'Change Inputs'!$F$83,0)</f>
        <v>1696891.6576526703</v>
      </c>
      <c r="K32" s="88">
        <f>$E32+(K13-$E13)*IFERROR(SUMPRODUCT('Practice Inputs'!$H$54:$H$55,'Practice Inputs'!$L$54:$L$55)/SUM('Practice Inputs'!$H$54:$H$55),0)+(K15-$E15)*IFERROR(SUMPRODUCT('Practice Inputs'!$H$56:$H$67,'Practice Inputs'!$L$56:$L$67)/SUM('Practice Inputs'!$H$56:$H$67),0)+(K17-$E17)*IFERROR('Change Inputs'!$K$83/'Change Inputs'!$F$83,0)</f>
        <v>1696891.6576526703</v>
      </c>
      <c r="L32" s="197"/>
      <c r="M32" s="88" t="e">
        <f>G32+SUM(G102:G111,G113)</f>
        <v>#VALUE!</v>
      </c>
      <c r="N32" s="88" t="e">
        <f t="shared" ref="N32:Q32" si="4">H32+SUM(H102:H111,H113)</f>
        <v>#VALUE!</v>
      </c>
      <c r="O32" s="88" t="e">
        <f t="shared" si="4"/>
        <v>#VALUE!</v>
      </c>
      <c r="P32" s="88" t="e">
        <f t="shared" si="4"/>
        <v>#VALUE!</v>
      </c>
      <c r="Q32" s="88" t="e">
        <f t="shared" si="4"/>
        <v>#VALUE!</v>
      </c>
    </row>
    <row r="33" spans="1:19">
      <c r="A33" s="4"/>
      <c r="C33" t="s">
        <v>205</v>
      </c>
      <c r="E33" s="88">
        <f>'Practice Inputs'!D150</f>
        <v>91524.203999999998</v>
      </c>
      <c r="F33" s="88"/>
      <c r="G33" s="88">
        <f>$E$33/$E$8*G8</f>
        <v>91524.203999999998</v>
      </c>
      <c r="H33" s="88">
        <f>$E$33/$E$8*H8</f>
        <v>91524.203999999998</v>
      </c>
      <c r="I33" s="88">
        <f>$E$33/$E$8*I8</f>
        <v>91524.203999999998</v>
      </c>
      <c r="J33" s="88">
        <f>$E$33/$E$8*J8</f>
        <v>91524.203999999998</v>
      </c>
      <c r="K33" s="88">
        <f>$E$33/$E$8*K8</f>
        <v>91524.203999999998</v>
      </c>
      <c r="L33" s="197"/>
      <c r="M33" s="88">
        <f>G33+G112</f>
        <v>91524.203999999998</v>
      </c>
      <c r="N33" s="88">
        <f>H33+H112</f>
        <v>91524.203999999998</v>
      </c>
      <c r="O33" s="88">
        <f>I33+I112</f>
        <v>91524.203999999998</v>
      </c>
      <c r="P33" s="88">
        <f>J33+J112</f>
        <v>91524.203999999998</v>
      </c>
      <c r="Q33" s="88">
        <f>K33+K112</f>
        <v>91524.203999999998</v>
      </c>
    </row>
    <row r="34" spans="1:19">
      <c r="A34" s="4"/>
      <c r="C34" t="s">
        <v>206</v>
      </c>
      <c r="E34" s="88">
        <f t="shared" ref="E34" si="5">SUM(E32:E33)</f>
        <v>1788415.8616526702</v>
      </c>
      <c r="F34" s="88">
        <f>E34</f>
        <v>1788415.8616526702</v>
      </c>
      <c r="G34" s="88">
        <f>SUM(G32:G33)</f>
        <v>1788415.8616526702</v>
      </c>
      <c r="H34" s="88">
        <f>SUM(H32:H33)</f>
        <v>1788415.8616526702</v>
      </c>
      <c r="I34" s="88">
        <f>SUM(I32:I33)</f>
        <v>1788415.8616526702</v>
      </c>
      <c r="J34" s="88">
        <f>SUM(J32:J33)</f>
        <v>1788415.8616526702</v>
      </c>
      <c r="K34" s="88">
        <f>SUM(K32:K33)</f>
        <v>1788415.8616526702</v>
      </c>
      <c r="L34" s="88">
        <f>E34</f>
        <v>1788415.8616526702</v>
      </c>
      <c r="M34" s="88" t="e">
        <f>SUM(M32:M33)</f>
        <v>#VALUE!</v>
      </c>
      <c r="N34" s="88" t="e">
        <f>SUM(N32:N33)</f>
        <v>#VALUE!</v>
      </c>
      <c r="O34" s="88" t="e">
        <f>SUM(O32:O33)</f>
        <v>#VALUE!</v>
      </c>
      <c r="P34" s="88" t="e">
        <f>SUM(P32:P33)</f>
        <v>#VALUE!</v>
      </c>
      <c r="Q34" s="88" t="e">
        <f>SUM(Q32:Q33)</f>
        <v>#VALUE!</v>
      </c>
    </row>
    <row r="35" spans="1:19">
      <c r="A35" s="4"/>
      <c r="E35" s="197"/>
      <c r="F35" s="197"/>
      <c r="G35" s="197"/>
      <c r="H35" s="197"/>
      <c r="I35" s="197"/>
      <c r="J35" s="197"/>
      <c r="K35" s="197"/>
      <c r="L35" s="197"/>
      <c r="M35" s="197"/>
      <c r="N35" s="197"/>
      <c r="O35" s="197"/>
      <c r="P35" s="197"/>
      <c r="Q35" s="197"/>
    </row>
    <row r="36" spans="1:19">
      <c r="A36" s="4"/>
      <c r="B36" s="57" t="s">
        <v>89</v>
      </c>
      <c r="E36" s="88">
        <f>E29-E34</f>
        <v>271565.88059624447</v>
      </c>
      <c r="F36" s="88">
        <f>E36</f>
        <v>271565.88059624447</v>
      </c>
      <c r="G36" s="88">
        <f>G29-G34</f>
        <v>271565.88059624447</v>
      </c>
      <c r="H36" s="88">
        <f>H29-H34</f>
        <v>271565.88059624447</v>
      </c>
      <c r="I36" s="88">
        <f>I29-I34</f>
        <v>271565.88059624447</v>
      </c>
      <c r="J36" s="88">
        <f>J29-J34</f>
        <v>271565.88059624447</v>
      </c>
      <c r="K36" s="88">
        <f>K29-K34</f>
        <v>271565.88059624447</v>
      </c>
      <c r="L36" s="88">
        <f>E36</f>
        <v>271565.88059624447</v>
      </c>
      <c r="M36" s="88" t="e">
        <f>M29-M34</f>
        <v>#VALUE!</v>
      </c>
      <c r="N36" s="88" t="e">
        <f>N29-N34</f>
        <v>#VALUE!</v>
      </c>
      <c r="O36" s="88" t="e">
        <f>O29-O34</f>
        <v>#VALUE!</v>
      </c>
      <c r="P36" s="88" t="e">
        <f>P29-P34</f>
        <v>#VALUE!</v>
      </c>
      <c r="Q36" s="88" t="e">
        <f>Q29-Q34</f>
        <v>#VALUE!</v>
      </c>
    </row>
    <row r="37" spans="1:19" ht="18.45">
      <c r="A37" s="4"/>
      <c r="C37" t="s">
        <v>207</v>
      </c>
      <c r="E37" s="117">
        <f>E36/E29</f>
        <v>0.13182926577774989</v>
      </c>
      <c r="F37" s="233"/>
      <c r="G37" s="117">
        <f>G36/G29</f>
        <v>0.13182926577774989</v>
      </c>
      <c r="H37" s="117">
        <f t="shared" ref="H37:K37" si="6">H36/H29</f>
        <v>0.13182926577774989</v>
      </c>
      <c r="I37" s="117">
        <f t="shared" si="6"/>
        <v>0.13182926577774989</v>
      </c>
      <c r="J37" s="117">
        <f t="shared" si="6"/>
        <v>0.13182926577774989</v>
      </c>
      <c r="K37" s="117">
        <f t="shared" si="6"/>
        <v>0.13182926577774989</v>
      </c>
      <c r="L37" s="197"/>
      <c r="M37" s="117" t="e">
        <f>M36/M29</f>
        <v>#VALUE!</v>
      </c>
      <c r="N37" s="117" t="e">
        <f t="shared" ref="N37" si="7">N36/N29</f>
        <v>#VALUE!</v>
      </c>
      <c r="O37" s="117" t="e">
        <f t="shared" ref="O37" si="8">O36/O29</f>
        <v>#VALUE!</v>
      </c>
      <c r="P37" s="117" t="e">
        <f t="shared" ref="P37" si="9">P36/P29</f>
        <v>#VALUE!</v>
      </c>
      <c r="Q37" s="117" t="e">
        <f t="shared" ref="Q37" si="10">Q36/Q29</f>
        <v>#VALUE!</v>
      </c>
      <c r="S37" s="15" t="s">
        <v>88</v>
      </c>
    </row>
    <row r="38" spans="1:19">
      <c r="A38" s="4"/>
      <c r="E38" s="197"/>
      <c r="F38" s="197"/>
      <c r="G38" s="197"/>
      <c r="H38" s="197"/>
      <c r="I38" s="197"/>
      <c r="J38" s="197"/>
      <c r="K38" s="197"/>
      <c r="L38" s="197"/>
      <c r="M38" s="197"/>
      <c r="N38" s="197"/>
      <c r="O38" s="197"/>
      <c r="P38" s="197"/>
      <c r="Q38" s="197"/>
    </row>
    <row r="39" spans="1:19">
      <c r="A39" s="4"/>
      <c r="B39" s="57" t="s">
        <v>208</v>
      </c>
      <c r="E39" s="197"/>
      <c r="F39" s="197"/>
      <c r="G39" s="197"/>
      <c r="H39" s="197"/>
      <c r="I39" s="197"/>
      <c r="J39" s="197"/>
      <c r="K39" s="197"/>
      <c r="L39" s="197"/>
      <c r="M39" s="197"/>
      <c r="N39" s="197"/>
      <c r="O39" s="197"/>
      <c r="P39" s="197"/>
      <c r="Q39" s="197"/>
    </row>
    <row r="40" spans="1:19">
      <c r="A40" s="4"/>
      <c r="C40" t="s">
        <v>209</v>
      </c>
      <c r="E40" s="234">
        <f>E27/E19</f>
        <v>32.78680316124737</v>
      </c>
      <c r="F40" s="234"/>
      <c r="G40" s="234">
        <f t="shared" ref="G40:K40" si="11">G27/G19</f>
        <v>32.78680316124737</v>
      </c>
      <c r="H40" s="234">
        <f t="shared" si="11"/>
        <v>32.78680316124737</v>
      </c>
      <c r="I40" s="234">
        <f t="shared" si="11"/>
        <v>32.78680316124737</v>
      </c>
      <c r="J40" s="234">
        <f t="shared" si="11"/>
        <v>32.78680316124737</v>
      </c>
      <c r="K40" s="234">
        <f t="shared" si="11"/>
        <v>32.78680316124737</v>
      </c>
      <c r="L40" s="197"/>
      <c r="M40" s="234">
        <f>M27/M19</f>
        <v>32.78680316124737</v>
      </c>
      <c r="N40" s="234">
        <f t="shared" ref="N40:Q40" si="12">N27/N19</f>
        <v>32.78680316124737</v>
      </c>
      <c r="O40" s="234">
        <f t="shared" si="12"/>
        <v>32.78680316124737</v>
      </c>
      <c r="P40" s="234">
        <f t="shared" si="12"/>
        <v>32.78680316124737</v>
      </c>
      <c r="Q40" s="234">
        <f t="shared" si="12"/>
        <v>32.78680316124737</v>
      </c>
    </row>
    <row r="41" spans="1:19">
      <c r="A41" s="4"/>
      <c r="C41" t="s">
        <v>210</v>
      </c>
      <c r="E41" s="234">
        <f>E28/E8</f>
        <v>274.29177517254396</v>
      </c>
      <c r="F41" s="234"/>
      <c r="G41" s="234">
        <f>G28/G8</f>
        <v>274.29177517254396</v>
      </c>
      <c r="H41" s="234">
        <f>H28/H8</f>
        <v>274.29177517254396</v>
      </c>
      <c r="I41" s="234">
        <f>I28/I8</f>
        <v>274.29177517254396</v>
      </c>
      <c r="J41" s="234">
        <f>J28/J8</f>
        <v>274.29177517254396</v>
      </c>
      <c r="K41" s="234">
        <f>K28/K8</f>
        <v>274.29177517254396</v>
      </c>
      <c r="L41" s="197"/>
      <c r="M41" s="234">
        <f>M28/M8</f>
        <v>274.29177517254396</v>
      </c>
      <c r="N41" s="234">
        <f>N28/N8</f>
        <v>274.29177517254396</v>
      </c>
      <c r="O41" s="234">
        <f>O28/O8</f>
        <v>274.29177517254396</v>
      </c>
      <c r="P41" s="234">
        <f>P28/P8</f>
        <v>274.29177517254396</v>
      </c>
      <c r="Q41" s="234">
        <f>Q28/Q8</f>
        <v>274.29177517254396</v>
      </c>
    </row>
    <row r="42" spans="1:19">
      <c r="A42" s="4"/>
      <c r="E42" s="197"/>
      <c r="F42" s="197"/>
      <c r="G42" s="197"/>
      <c r="H42" s="197"/>
      <c r="I42" s="197"/>
      <c r="J42" s="197"/>
      <c r="K42" s="197"/>
      <c r="L42" s="197"/>
      <c r="M42" s="197"/>
      <c r="N42" s="197"/>
      <c r="O42" s="197"/>
      <c r="P42" s="197"/>
      <c r="Q42" s="197"/>
    </row>
    <row r="43" spans="1:19">
      <c r="A43" s="4"/>
      <c r="B43" s="57" t="s">
        <v>211</v>
      </c>
      <c r="E43" s="197"/>
      <c r="F43" s="197"/>
      <c r="G43" s="197"/>
      <c r="H43" s="197"/>
      <c r="I43" s="197"/>
      <c r="J43" s="197"/>
      <c r="K43" s="197"/>
      <c r="L43" s="197"/>
      <c r="M43" s="197"/>
      <c r="N43" s="197"/>
      <c r="O43" s="197"/>
      <c r="P43" s="197"/>
      <c r="Q43" s="197"/>
    </row>
    <row r="44" spans="1:19">
      <c r="A44" s="4"/>
      <c r="C44" t="s">
        <v>204</v>
      </c>
      <c r="E44" s="234">
        <f>E32/E19</f>
        <v>80.804364650127155</v>
      </c>
      <c r="F44" s="234"/>
      <c r="G44" s="234">
        <f>G32/G19</f>
        <v>80.804364650127155</v>
      </c>
      <c r="H44" s="234">
        <f t="shared" ref="H44:K44" si="13">H32/H19</f>
        <v>80.804364650127155</v>
      </c>
      <c r="I44" s="234">
        <f t="shared" si="13"/>
        <v>80.804364650127155</v>
      </c>
      <c r="J44" s="234">
        <f t="shared" si="13"/>
        <v>80.804364650127155</v>
      </c>
      <c r="K44" s="234">
        <f t="shared" si="13"/>
        <v>80.804364650127155</v>
      </c>
      <c r="L44" s="197"/>
      <c r="M44" s="234" t="e">
        <f>M32/M19</f>
        <v>#VALUE!</v>
      </c>
      <c r="N44" s="234" t="e">
        <f t="shared" ref="N44:Q44" si="14">N32/N19</f>
        <v>#VALUE!</v>
      </c>
      <c r="O44" s="234" t="e">
        <f t="shared" si="14"/>
        <v>#VALUE!</v>
      </c>
      <c r="P44" s="234" t="e">
        <f t="shared" si="14"/>
        <v>#VALUE!</v>
      </c>
      <c r="Q44" s="234" t="e">
        <f t="shared" si="14"/>
        <v>#VALUE!</v>
      </c>
    </row>
    <row r="45" spans="1:19">
      <c r="A45" s="4"/>
      <c r="C45" t="s">
        <v>205</v>
      </c>
      <c r="E45" s="234">
        <f>E33/E8</f>
        <v>18.304840800000001</v>
      </c>
      <c r="F45" s="234"/>
      <c r="G45" s="234">
        <f>G33/G8</f>
        <v>18.304840800000001</v>
      </c>
      <c r="H45" s="234">
        <f>H33/H8</f>
        <v>18.304840800000001</v>
      </c>
      <c r="I45" s="234">
        <f>I33/I8</f>
        <v>18.304840800000001</v>
      </c>
      <c r="J45" s="234">
        <f>J33/J8</f>
        <v>18.304840800000001</v>
      </c>
      <c r="K45" s="234">
        <f>K33/K8</f>
        <v>18.304840800000001</v>
      </c>
      <c r="L45" s="197"/>
      <c r="M45" s="234">
        <f>M33/M8</f>
        <v>18.304840800000001</v>
      </c>
      <c r="N45" s="234">
        <f>N33/N8</f>
        <v>18.304840800000001</v>
      </c>
      <c r="O45" s="234">
        <f>O33/O8</f>
        <v>18.304840800000001</v>
      </c>
      <c r="P45" s="234">
        <f>P33/P8</f>
        <v>18.304840800000001</v>
      </c>
      <c r="Q45" s="234">
        <f>Q33/Q8</f>
        <v>18.304840800000001</v>
      </c>
    </row>
    <row r="46" spans="1:19">
      <c r="A46" s="4"/>
      <c r="E46" s="31"/>
      <c r="F46" s="31"/>
      <c r="G46" s="31"/>
      <c r="H46" s="31"/>
      <c r="I46" s="31"/>
      <c r="J46" s="31"/>
      <c r="K46" s="31"/>
      <c r="M46" s="31"/>
      <c r="N46" s="31"/>
      <c r="O46" s="31"/>
      <c r="P46" s="31"/>
      <c r="Q46" s="31"/>
    </row>
    <row r="47" spans="1:19">
      <c r="A47" s="4"/>
    </row>
    <row r="48" spans="1:19" ht="18.45">
      <c r="A48" s="15" t="s">
        <v>212</v>
      </c>
    </row>
    <row r="49" spans="1:19" ht="18.45">
      <c r="M49" s="4"/>
      <c r="N49" s="15"/>
    </row>
    <row r="50" spans="1:19" ht="15.9">
      <c r="A50" s="206" t="s">
        <v>213</v>
      </c>
      <c r="B50" s="197"/>
      <c r="C50" s="197"/>
      <c r="D50" s="197"/>
      <c r="G50" s="204" t="s">
        <v>183</v>
      </c>
      <c r="H50" s="75"/>
      <c r="I50" s="75"/>
      <c r="J50" s="75"/>
      <c r="K50" s="75"/>
      <c r="M50" s="205" t="s">
        <v>184</v>
      </c>
      <c r="N50" s="203"/>
      <c r="O50" s="203"/>
      <c r="P50" s="203"/>
      <c r="Q50" s="203"/>
    </row>
    <row r="51" spans="1:19">
      <c r="A51" s="206" t="s">
        <v>214</v>
      </c>
      <c r="B51" s="197"/>
      <c r="C51" s="197"/>
      <c r="D51" s="197"/>
      <c r="M51" s="4"/>
    </row>
    <row r="52" spans="1:19">
      <c r="A52" s="303" t="s">
        <v>215</v>
      </c>
      <c r="B52" s="197"/>
      <c r="C52" s="197"/>
      <c r="D52" s="197"/>
      <c r="M52" s="4"/>
    </row>
    <row r="53" spans="1:19" ht="18.45">
      <c r="A53" s="154"/>
      <c r="C53" s="197"/>
      <c r="D53" s="197"/>
      <c r="I53" t="s">
        <v>216</v>
      </c>
      <c r="J53" t="s">
        <v>217</v>
      </c>
      <c r="M53" s="4"/>
      <c r="O53" t="s">
        <v>218</v>
      </c>
      <c r="P53" t="s">
        <v>219</v>
      </c>
      <c r="S53" s="15" t="s">
        <v>86</v>
      </c>
    </row>
    <row r="54" spans="1:19">
      <c r="A54" s="206" t="s">
        <v>220</v>
      </c>
      <c r="B54" s="197"/>
      <c r="C54" s="197"/>
      <c r="D54" s="197"/>
      <c r="H54">
        <v>0</v>
      </c>
      <c r="I54" s="31">
        <f t="shared" ref="I54:I62" si="15">H54*$E$44+$E$45</f>
        <v>18.304840800000001</v>
      </c>
      <c r="J54" s="31">
        <f t="shared" ref="J54:J62" si="16">$E$41+H54*$E$40</f>
        <v>274.29177517254396</v>
      </c>
      <c r="M54" s="4"/>
      <c r="N54">
        <v>0</v>
      </c>
      <c r="O54" s="31" t="e">
        <f t="shared" ref="O54:O62" si="17">N54*$Q$44+$Q$45</f>
        <v>#VALUE!</v>
      </c>
      <c r="P54" s="31">
        <f t="shared" ref="P54:P62" si="18">$Q$41+N54*$Q$40</f>
        <v>274.29177517254396</v>
      </c>
    </row>
    <row r="55" spans="1:19">
      <c r="A55" s="206" t="s">
        <v>221</v>
      </c>
      <c r="B55" s="197"/>
      <c r="C55" s="197"/>
      <c r="D55" s="197"/>
      <c r="H55">
        <v>1</v>
      </c>
      <c r="I55" s="31">
        <f t="shared" si="15"/>
        <v>99.109205450127149</v>
      </c>
      <c r="J55" s="31">
        <f t="shared" si="16"/>
        <v>307.07857833379131</v>
      </c>
      <c r="M55" s="4"/>
      <c r="N55">
        <v>1</v>
      </c>
      <c r="O55" s="31" t="e">
        <f t="shared" si="17"/>
        <v>#VALUE!</v>
      </c>
      <c r="P55" s="31">
        <f t="shared" si="18"/>
        <v>307.07857833379131</v>
      </c>
    </row>
    <row r="56" spans="1:19">
      <c r="A56" s="206" t="s">
        <v>222</v>
      </c>
      <c r="B56" s="197"/>
      <c r="C56" s="197"/>
      <c r="D56" s="197"/>
      <c r="H56">
        <v>2</v>
      </c>
      <c r="I56" s="31">
        <f t="shared" si="15"/>
        <v>179.9135701002543</v>
      </c>
      <c r="J56" s="31">
        <f t="shared" si="16"/>
        <v>339.86538149503872</v>
      </c>
      <c r="M56" s="4"/>
      <c r="N56">
        <v>2</v>
      </c>
      <c r="O56" s="31" t="e">
        <f t="shared" si="17"/>
        <v>#VALUE!</v>
      </c>
      <c r="P56" s="31">
        <f t="shared" si="18"/>
        <v>339.86538149503872</v>
      </c>
    </row>
    <row r="57" spans="1:19">
      <c r="A57" s="206" t="s">
        <v>223</v>
      </c>
      <c r="B57" s="197"/>
      <c r="C57" s="197"/>
      <c r="D57" s="197"/>
      <c r="H57">
        <v>3</v>
      </c>
      <c r="I57" s="31">
        <f t="shared" si="15"/>
        <v>260.71793475038146</v>
      </c>
      <c r="J57" s="31">
        <f t="shared" si="16"/>
        <v>372.65218465628607</v>
      </c>
      <c r="M57" s="4"/>
      <c r="N57">
        <v>3</v>
      </c>
      <c r="O57" s="31" t="e">
        <f t="shared" si="17"/>
        <v>#VALUE!</v>
      </c>
      <c r="P57" s="31">
        <f t="shared" si="18"/>
        <v>372.65218465628607</v>
      </c>
    </row>
    <row r="58" spans="1:19">
      <c r="A58" s="206" t="s">
        <v>224</v>
      </c>
      <c r="B58" s="197"/>
      <c r="C58" s="197"/>
      <c r="D58" s="197"/>
      <c r="H58">
        <v>4</v>
      </c>
      <c r="I58" s="31">
        <f t="shared" si="15"/>
        <v>341.52229940050864</v>
      </c>
      <c r="J58" s="31">
        <f t="shared" si="16"/>
        <v>405.43898781753342</v>
      </c>
      <c r="M58" s="4"/>
      <c r="N58">
        <v>4</v>
      </c>
      <c r="O58" s="31" t="e">
        <f t="shared" si="17"/>
        <v>#VALUE!</v>
      </c>
      <c r="P58" s="31">
        <f t="shared" si="18"/>
        <v>405.43898781753342</v>
      </c>
    </row>
    <row r="59" spans="1:19">
      <c r="A59" s="206" t="s">
        <v>225</v>
      </c>
      <c r="B59" s="197"/>
      <c r="C59" s="197"/>
      <c r="D59" s="197"/>
      <c r="H59">
        <v>5</v>
      </c>
      <c r="I59" s="31">
        <f t="shared" si="15"/>
        <v>422.32666405063577</v>
      </c>
      <c r="J59" s="31">
        <f t="shared" si="16"/>
        <v>438.22579097878082</v>
      </c>
      <c r="M59" s="4"/>
      <c r="N59">
        <v>5</v>
      </c>
      <c r="O59" s="31" t="e">
        <f t="shared" si="17"/>
        <v>#VALUE!</v>
      </c>
      <c r="P59" s="31">
        <f t="shared" si="18"/>
        <v>438.22579097878082</v>
      </c>
    </row>
    <row r="60" spans="1:19">
      <c r="A60" s="206" t="s">
        <v>226</v>
      </c>
      <c r="B60" s="197"/>
      <c r="C60" s="197"/>
      <c r="D60" s="197"/>
      <c r="H60">
        <v>6</v>
      </c>
      <c r="I60" s="31">
        <f t="shared" si="15"/>
        <v>503.13102870076295</v>
      </c>
      <c r="J60" s="31">
        <f t="shared" si="16"/>
        <v>471.01259414002817</v>
      </c>
      <c r="M60" s="4"/>
      <c r="N60">
        <v>6</v>
      </c>
      <c r="O60" s="31" t="e">
        <f t="shared" si="17"/>
        <v>#VALUE!</v>
      </c>
      <c r="P60" s="31">
        <f t="shared" si="18"/>
        <v>471.01259414002817</v>
      </c>
    </row>
    <row r="61" spans="1:19">
      <c r="A61" s="206" t="s">
        <v>227</v>
      </c>
      <c r="B61" s="197"/>
      <c r="C61" s="197"/>
      <c r="D61" s="197"/>
      <c r="H61">
        <v>7</v>
      </c>
      <c r="I61" s="31">
        <f t="shared" si="15"/>
        <v>583.93539335089008</v>
      </c>
      <c r="J61" s="31">
        <f t="shared" si="16"/>
        <v>503.79939730127558</v>
      </c>
      <c r="M61" s="4"/>
      <c r="N61">
        <v>7</v>
      </c>
      <c r="O61" s="31" t="e">
        <f t="shared" si="17"/>
        <v>#VALUE!</v>
      </c>
      <c r="P61" s="31">
        <f t="shared" si="18"/>
        <v>503.79939730127558</v>
      </c>
    </row>
    <row r="62" spans="1:19">
      <c r="A62" s="154"/>
      <c r="B62" s="197"/>
      <c r="C62" s="197"/>
      <c r="D62" s="197"/>
      <c r="H62">
        <v>8</v>
      </c>
      <c r="I62" s="31">
        <f t="shared" si="15"/>
        <v>664.73975800101721</v>
      </c>
      <c r="J62" s="31">
        <f t="shared" si="16"/>
        <v>536.58620046252292</v>
      </c>
      <c r="M62" s="4"/>
      <c r="N62">
        <v>8</v>
      </c>
      <c r="O62" s="31" t="e">
        <f t="shared" si="17"/>
        <v>#VALUE!</v>
      </c>
      <c r="P62" s="31">
        <f t="shared" si="18"/>
        <v>536.58620046252292</v>
      </c>
    </row>
    <row r="63" spans="1:19">
      <c r="A63" s="206" t="s">
        <v>228</v>
      </c>
      <c r="B63" s="197"/>
      <c r="C63" s="197"/>
      <c r="D63" s="197"/>
      <c r="H63">
        <v>9</v>
      </c>
      <c r="I63" s="31">
        <f>H63*$E$44+$E$45</f>
        <v>745.54412265114433</v>
      </c>
      <c r="J63" s="31">
        <f>$E$41+H63*$E$40</f>
        <v>569.37300362377027</v>
      </c>
      <c r="M63" s="4"/>
      <c r="N63">
        <v>9</v>
      </c>
      <c r="O63" s="31" t="e">
        <f>N63*$Q$44+$Q$45</f>
        <v>#VALUE!</v>
      </c>
      <c r="P63" s="31">
        <f>$Q$41+N63*$Q$40</f>
        <v>569.37300362377027</v>
      </c>
    </row>
    <row r="64" spans="1:19">
      <c r="A64" s="206" t="s">
        <v>229</v>
      </c>
      <c r="B64" s="197"/>
      <c r="H64">
        <v>10</v>
      </c>
      <c r="I64" s="31">
        <f>H64*$E$44+$E$45</f>
        <v>826.34848730127146</v>
      </c>
      <c r="J64" s="31">
        <f>$E$41+H64*$E$40</f>
        <v>602.15980678501774</v>
      </c>
      <c r="M64" s="4"/>
      <c r="N64">
        <v>10</v>
      </c>
      <c r="O64" s="31" t="e">
        <f>N64*$Q$44+$Q$45</f>
        <v>#VALUE!</v>
      </c>
      <c r="P64" s="31">
        <f>$Q$41+N64*$Q$40</f>
        <v>602.15980678501774</v>
      </c>
    </row>
    <row r="65" spans="1:13">
      <c r="A65" s="206" t="s">
        <v>230</v>
      </c>
      <c r="C65" s="197"/>
      <c r="D65" s="197"/>
      <c r="L65" s="4"/>
    </row>
    <row r="66" spans="1:13">
      <c r="A66" s="206" t="s">
        <v>231</v>
      </c>
      <c r="B66" s="197"/>
      <c r="C66" s="197"/>
      <c r="D66" s="197"/>
    </row>
    <row r="67" spans="1:13">
      <c r="A67" s="206" t="s">
        <v>232</v>
      </c>
      <c r="B67" s="197"/>
      <c r="C67" s="197"/>
      <c r="D67" s="197"/>
      <c r="M67" s="4"/>
    </row>
    <row r="68" spans="1:13">
      <c r="A68" s="206"/>
      <c r="B68" s="197"/>
      <c r="C68" s="197"/>
      <c r="D68" s="197"/>
      <c r="M68" s="4"/>
    </row>
    <row r="69" spans="1:13">
      <c r="A69" s="206" t="s">
        <v>233</v>
      </c>
      <c r="B69" s="197"/>
      <c r="C69" s="197"/>
      <c r="D69" s="197"/>
      <c r="M69" s="4"/>
    </row>
    <row r="70" spans="1:13">
      <c r="A70" s="197"/>
      <c r="B70" s="197" t="s">
        <v>234</v>
      </c>
      <c r="C70" s="197"/>
      <c r="D70" s="197"/>
    </row>
    <row r="71" spans="1:13">
      <c r="A71" s="197"/>
      <c r="B71" s="197"/>
      <c r="C71" s="197"/>
      <c r="D71" s="197"/>
    </row>
    <row r="72" spans="1:13">
      <c r="A72" s="197"/>
      <c r="B72" s="197"/>
      <c r="C72" s="197"/>
      <c r="D72" s="197"/>
    </row>
    <row r="73" spans="1:13">
      <c r="A73" s="197"/>
      <c r="B73" s="197"/>
      <c r="C73" s="197"/>
      <c r="D73" s="197"/>
    </row>
    <row r="74" spans="1:13" ht="18.45">
      <c r="A74" s="15" t="s">
        <v>235</v>
      </c>
    </row>
    <row r="75" spans="1:13">
      <c r="A75" s="235"/>
      <c r="B75" s="235"/>
      <c r="C75" s="235"/>
      <c r="D75" s="235"/>
      <c r="E75" s="235"/>
      <c r="F75" s="235"/>
      <c r="G75" s="236" t="s">
        <v>185</v>
      </c>
      <c r="H75" s="236"/>
      <c r="I75" s="236"/>
      <c r="J75" s="236"/>
      <c r="K75" s="236"/>
      <c r="L75" s="197"/>
      <c r="M75" s="197"/>
    </row>
    <row r="76" spans="1:13">
      <c r="A76" s="237"/>
      <c r="B76" s="235"/>
      <c r="C76" s="235"/>
      <c r="D76" s="235"/>
      <c r="E76" s="238" t="s">
        <v>187</v>
      </c>
      <c r="F76" s="238"/>
      <c r="G76" s="238" t="s">
        <v>188</v>
      </c>
      <c r="H76" s="238" t="s">
        <v>189</v>
      </c>
      <c r="I76" s="238" t="s">
        <v>190</v>
      </c>
      <c r="J76" s="238" t="s">
        <v>191</v>
      </c>
      <c r="K76" s="238" t="s">
        <v>192</v>
      </c>
      <c r="L76" s="197"/>
      <c r="M76" s="197"/>
    </row>
    <row r="77" spans="1:13" ht="39">
      <c r="A77" s="239" t="s">
        <v>56</v>
      </c>
      <c r="B77" s="240"/>
      <c r="C77" s="192" t="s">
        <v>236</v>
      </c>
      <c r="D77" s="192" t="s">
        <v>237</v>
      </c>
      <c r="E77" s="240"/>
      <c r="F77" s="240"/>
      <c r="G77" s="240"/>
      <c r="H77" s="240"/>
      <c r="I77" s="240"/>
      <c r="J77" s="240"/>
      <c r="K77" s="240"/>
      <c r="L77" s="197"/>
      <c r="M77" s="197"/>
    </row>
    <row r="78" spans="1:13">
      <c r="A78" s="197" t="s">
        <v>238</v>
      </c>
      <c r="B78" s="197"/>
      <c r="C78" s="197"/>
      <c r="D78" s="197"/>
      <c r="E78" s="88">
        <f>'Practice Inputs'!D102</f>
        <v>2059981.7422489147</v>
      </c>
      <c r="F78" s="88"/>
      <c r="G78" s="88">
        <f>E78</f>
        <v>2059981.7422489147</v>
      </c>
      <c r="H78" s="88">
        <f t="shared" ref="H78:K78" si="19">G78</f>
        <v>2059981.7422489147</v>
      </c>
      <c r="I78" s="88">
        <f t="shared" si="19"/>
        <v>2059981.7422489147</v>
      </c>
      <c r="J78" s="88">
        <f t="shared" si="19"/>
        <v>2059981.7422489147</v>
      </c>
      <c r="K78" s="88">
        <f t="shared" si="19"/>
        <v>2059981.7422489147</v>
      </c>
      <c r="L78" s="197"/>
      <c r="M78" s="197"/>
    </row>
    <row r="79" spans="1:13">
      <c r="A79" s="197" t="s">
        <v>239</v>
      </c>
      <c r="B79" s="197"/>
      <c r="C79" s="197"/>
      <c r="D79" s="197"/>
      <c r="E79" s="88"/>
      <c r="F79" s="88"/>
      <c r="G79" s="88"/>
      <c r="H79" s="88"/>
      <c r="I79" s="88"/>
      <c r="J79" s="88"/>
      <c r="K79" s="88"/>
      <c r="L79" s="197"/>
      <c r="M79" s="197"/>
    </row>
    <row r="80" spans="1:13">
      <c r="A80" s="241" t="s">
        <v>240</v>
      </c>
      <c r="B80" s="197"/>
      <c r="C80" s="242"/>
      <c r="D80" s="242"/>
      <c r="E80" s="88"/>
      <c r="F80" s="88"/>
      <c r="G80" s="88">
        <f>'Change Inputs'!L590*'Change Inputs'!$C590+'Change Inputs'!Q590</f>
        <v>0</v>
      </c>
      <c r="H80" s="88">
        <f>'Change Inputs'!M590*'Change Inputs'!$C590+'Change Inputs'!R590</f>
        <v>0</v>
      </c>
      <c r="I80" s="88">
        <f>'Change Inputs'!N590*'Change Inputs'!$C590+'Change Inputs'!S590</f>
        <v>0</v>
      </c>
      <c r="J80" s="88">
        <f>'Change Inputs'!O590*'Change Inputs'!$C590+'Change Inputs'!T590</f>
        <v>0</v>
      </c>
      <c r="K80" s="88">
        <f>'Change Inputs'!P590*'Change Inputs'!$C590+'Change Inputs'!U590</f>
        <v>0</v>
      </c>
      <c r="L80" s="197"/>
      <c r="M80" s="197"/>
    </row>
    <row r="81" spans="1:13">
      <c r="A81" s="241" t="s">
        <v>94</v>
      </c>
      <c r="B81" s="197"/>
      <c r="C81" s="242"/>
      <c r="D81" s="242"/>
      <c r="E81" s="88"/>
      <c r="F81" s="88"/>
      <c r="G81" s="88">
        <f>'Change Inputs'!L591*'Change Inputs'!$C591+'Change Inputs'!Q591</f>
        <v>0</v>
      </c>
      <c r="H81" s="88">
        <f>'Change Inputs'!M591*'Change Inputs'!$C591+'Change Inputs'!R591</f>
        <v>0</v>
      </c>
      <c r="I81" s="88">
        <f>'Change Inputs'!N591*'Change Inputs'!$C591+'Change Inputs'!S591</f>
        <v>0</v>
      </c>
      <c r="J81" s="88">
        <f>'Change Inputs'!O591*'Change Inputs'!$C591+'Change Inputs'!T591</f>
        <v>0</v>
      </c>
      <c r="K81" s="88">
        <f>'Change Inputs'!P591*'Change Inputs'!$C591+'Change Inputs'!U591</f>
        <v>0</v>
      </c>
      <c r="L81" s="197"/>
      <c r="M81" s="197"/>
    </row>
    <row r="82" spans="1:13">
      <c r="A82" s="197" t="s">
        <v>241</v>
      </c>
      <c r="B82" s="197"/>
      <c r="C82" s="197"/>
      <c r="D82" s="197"/>
      <c r="E82" s="88"/>
      <c r="F82" s="88"/>
      <c r="G82" s="88"/>
      <c r="H82" s="88"/>
      <c r="I82" s="88"/>
      <c r="J82" s="88"/>
      <c r="K82" s="88"/>
      <c r="L82" s="197"/>
      <c r="M82" s="197"/>
    </row>
    <row r="83" spans="1:13">
      <c r="A83" s="241" t="s">
        <v>242</v>
      </c>
      <c r="B83" s="197"/>
      <c r="C83" s="242"/>
      <c r="D83" s="242"/>
      <c r="E83" s="88"/>
      <c r="F83" s="88"/>
      <c r="G83" s="88">
        <f>'Change Inputs'!L593*'Change Inputs'!$C593+'Change Inputs'!Q593</f>
        <v>0</v>
      </c>
      <c r="H83" s="88">
        <f>'Change Inputs'!M593*'Change Inputs'!$C593+'Change Inputs'!R593</f>
        <v>0</v>
      </c>
      <c r="I83" s="88">
        <f>'Change Inputs'!N593*'Change Inputs'!$C593+'Change Inputs'!S593</f>
        <v>0</v>
      </c>
      <c r="J83" s="88">
        <f>'Change Inputs'!O593*'Change Inputs'!$C593+'Change Inputs'!T593</f>
        <v>0</v>
      </c>
      <c r="K83" s="88">
        <f>'Change Inputs'!P593*'Change Inputs'!$C593+'Change Inputs'!U593</f>
        <v>0</v>
      </c>
      <c r="L83" s="197"/>
      <c r="M83" s="197"/>
    </row>
    <row r="84" spans="1:13">
      <c r="A84" s="241" t="s">
        <v>243</v>
      </c>
      <c r="B84" s="197"/>
      <c r="C84" s="242"/>
      <c r="D84" s="242"/>
      <c r="E84" s="88"/>
      <c r="F84" s="88"/>
      <c r="G84" s="88">
        <f>'Change Inputs'!L594*'Change Inputs'!$C594+'Change Inputs'!Q594</f>
        <v>0</v>
      </c>
      <c r="H84" s="88">
        <f>'Change Inputs'!M594*'Change Inputs'!$C594+'Change Inputs'!R594</f>
        <v>0</v>
      </c>
      <c r="I84" s="88">
        <f>'Change Inputs'!N594*'Change Inputs'!$C594+'Change Inputs'!S594</f>
        <v>0</v>
      </c>
      <c r="J84" s="88">
        <f>'Change Inputs'!O594*'Change Inputs'!$C594+'Change Inputs'!T594</f>
        <v>0</v>
      </c>
      <c r="K84" s="88">
        <f>'Change Inputs'!P594*'Change Inputs'!$C594+'Change Inputs'!U594</f>
        <v>0</v>
      </c>
      <c r="L84" s="197"/>
      <c r="M84" s="197"/>
    </row>
    <row r="85" spans="1:13">
      <c r="A85" s="241" t="s">
        <v>244</v>
      </c>
      <c r="B85" s="197"/>
      <c r="C85" s="242"/>
      <c r="D85" s="242"/>
      <c r="E85" s="88"/>
      <c r="F85" s="88"/>
      <c r="G85" s="88">
        <f>'Change Inputs'!L595*'Change Inputs'!$C595+'Change Inputs'!Q595</f>
        <v>0</v>
      </c>
      <c r="H85" s="88">
        <f>'Change Inputs'!M595*'Change Inputs'!$C595+'Change Inputs'!R595</f>
        <v>0</v>
      </c>
      <c r="I85" s="88">
        <f>'Change Inputs'!N595*'Change Inputs'!$C595+'Change Inputs'!S595</f>
        <v>0</v>
      </c>
      <c r="J85" s="88">
        <f>'Change Inputs'!O595*'Change Inputs'!$C595+'Change Inputs'!T595</f>
        <v>0</v>
      </c>
      <c r="K85" s="88">
        <f>'Change Inputs'!P595*'Change Inputs'!$C595+'Change Inputs'!U595</f>
        <v>0</v>
      </c>
      <c r="L85" s="197"/>
      <c r="M85" s="197"/>
    </row>
    <row r="86" spans="1:13">
      <c r="A86" s="241" t="s">
        <v>102</v>
      </c>
      <c r="B86" s="197"/>
      <c r="C86" s="242"/>
      <c r="D86" s="242"/>
      <c r="E86" s="88"/>
      <c r="F86" s="88"/>
      <c r="G86" s="88">
        <f>'Change Inputs'!L596*'Change Inputs'!$C596+'Change Inputs'!Q596</f>
        <v>0</v>
      </c>
      <c r="H86" s="88">
        <f>'Change Inputs'!M596*'Change Inputs'!$C596+'Change Inputs'!R596</f>
        <v>0</v>
      </c>
      <c r="I86" s="88">
        <f>'Change Inputs'!N596*'Change Inputs'!$C596+'Change Inputs'!S596</f>
        <v>0</v>
      </c>
      <c r="J86" s="88">
        <f>'Change Inputs'!O596*'Change Inputs'!$C596+'Change Inputs'!T596</f>
        <v>0</v>
      </c>
      <c r="K86" s="88">
        <f>'Change Inputs'!P596*'Change Inputs'!$C596+'Change Inputs'!U596</f>
        <v>0</v>
      </c>
      <c r="L86" s="197"/>
      <c r="M86" s="197"/>
    </row>
    <row r="87" spans="1:13">
      <c r="A87" s="197" t="s">
        <v>145</v>
      </c>
      <c r="B87" s="197"/>
      <c r="C87" s="197"/>
      <c r="D87" s="197"/>
      <c r="E87" s="88"/>
      <c r="F87" s="88"/>
      <c r="G87" s="88"/>
      <c r="H87" s="88"/>
      <c r="I87" s="88"/>
      <c r="J87" s="88"/>
      <c r="K87" s="88"/>
      <c r="L87" s="197"/>
      <c r="M87" s="197"/>
    </row>
    <row r="88" spans="1:13">
      <c r="A88" s="241" t="s">
        <v>245</v>
      </c>
      <c r="B88" s="197"/>
      <c r="C88" s="242"/>
      <c r="D88" s="242"/>
      <c r="E88" s="88"/>
      <c r="F88" s="88"/>
      <c r="G88" s="88">
        <f>'Change Inputs'!L598*'Change Inputs'!$C598+'Change Inputs'!Q598</f>
        <v>0</v>
      </c>
      <c r="H88" s="88">
        <f>'Change Inputs'!M598*'Change Inputs'!$C598+'Change Inputs'!R598</f>
        <v>0</v>
      </c>
      <c r="I88" s="88">
        <f>'Change Inputs'!N598*'Change Inputs'!$C598+'Change Inputs'!S598</f>
        <v>0</v>
      </c>
      <c r="J88" s="88">
        <f>'Change Inputs'!O598*'Change Inputs'!$C598+'Change Inputs'!T598</f>
        <v>0</v>
      </c>
      <c r="K88" s="88">
        <f>'Change Inputs'!P598*'Change Inputs'!$C598+'Change Inputs'!U598</f>
        <v>0</v>
      </c>
      <c r="L88" s="197"/>
      <c r="M88" s="197"/>
    </row>
    <row r="89" spans="1:13">
      <c r="A89" s="241" t="s">
        <v>246</v>
      </c>
      <c r="B89" s="197"/>
      <c r="C89" s="242"/>
      <c r="D89" s="242"/>
      <c r="E89" s="88"/>
      <c r="F89" s="88"/>
      <c r="G89" s="88">
        <f>'Change Inputs'!L599*'Change Inputs'!$C599+'Change Inputs'!Q599</f>
        <v>0</v>
      </c>
      <c r="H89" s="88">
        <f>'Change Inputs'!M599*'Change Inputs'!$C599+'Change Inputs'!R599</f>
        <v>0</v>
      </c>
      <c r="I89" s="88">
        <f>'Change Inputs'!N599*'Change Inputs'!$C599+'Change Inputs'!S599</f>
        <v>0</v>
      </c>
      <c r="J89" s="88">
        <f>'Change Inputs'!O599*'Change Inputs'!$C599+'Change Inputs'!T599</f>
        <v>0</v>
      </c>
      <c r="K89" s="88">
        <f>'Change Inputs'!P599*'Change Inputs'!$C599+'Change Inputs'!U599</f>
        <v>0</v>
      </c>
      <c r="L89" s="197"/>
      <c r="M89" s="197"/>
    </row>
    <row r="90" spans="1:13">
      <c r="A90" s="241" t="s">
        <v>150</v>
      </c>
      <c r="B90" s="197"/>
      <c r="C90" s="242"/>
      <c r="D90" s="242"/>
      <c r="E90" s="88"/>
      <c r="F90" s="88"/>
      <c r="G90" s="88">
        <f>'Change Inputs'!L601*'Change Inputs'!$C601+'Change Inputs'!Q601</f>
        <v>0</v>
      </c>
      <c r="H90" s="88">
        <f>'Change Inputs'!M601*'Change Inputs'!$C601+'Change Inputs'!R601</f>
        <v>0</v>
      </c>
      <c r="I90" s="88">
        <f>'Change Inputs'!N601*'Change Inputs'!$C601+'Change Inputs'!S601</f>
        <v>0</v>
      </c>
      <c r="J90" s="88">
        <f>'Change Inputs'!O601*'Change Inputs'!$C601+'Change Inputs'!T601</f>
        <v>0</v>
      </c>
      <c r="K90" s="88">
        <f>'Change Inputs'!P601*'Change Inputs'!$C601+'Change Inputs'!U601</f>
        <v>0</v>
      </c>
      <c r="L90" s="197"/>
      <c r="M90" s="197"/>
    </row>
    <row r="91" spans="1:13">
      <c r="A91" s="241" t="s">
        <v>247</v>
      </c>
      <c r="B91" s="197"/>
      <c r="C91" s="242"/>
      <c r="D91" s="242"/>
      <c r="E91" s="88"/>
      <c r="F91" s="88"/>
      <c r="G91" s="88">
        <f>'Change Inputs'!L600*'Change Inputs'!$C600+'Change Inputs'!Q600</f>
        <v>0</v>
      </c>
      <c r="H91" s="88">
        <f>'Change Inputs'!M600*'Change Inputs'!$C600+'Change Inputs'!R600</f>
        <v>0</v>
      </c>
      <c r="I91" s="88">
        <f>'Change Inputs'!N600*'Change Inputs'!$C600+'Change Inputs'!S600</f>
        <v>0</v>
      </c>
      <c r="J91" s="88">
        <f>'Change Inputs'!O600*'Change Inputs'!$C600+'Change Inputs'!T600</f>
        <v>0</v>
      </c>
      <c r="K91" s="88">
        <f>'Change Inputs'!P600*'Change Inputs'!$C600+'Change Inputs'!U600</f>
        <v>0</v>
      </c>
      <c r="L91" s="197"/>
      <c r="M91" s="197"/>
    </row>
    <row r="92" spans="1:13">
      <c r="A92" s="241"/>
      <c r="B92" s="197" t="s">
        <v>248</v>
      </c>
      <c r="C92" s="197"/>
      <c r="D92" s="197"/>
      <c r="E92" s="197"/>
      <c r="F92" s="197"/>
      <c r="G92" s="88">
        <f>SUM(G80:G91)</f>
        <v>0</v>
      </c>
      <c r="H92" s="88">
        <f t="shared" ref="H92" si="20">SUM(H80:H91)</f>
        <v>0</v>
      </c>
      <c r="I92" s="88">
        <f t="shared" ref="I92" si="21">SUM(I80:I91)</f>
        <v>0</v>
      </c>
      <c r="J92" s="88">
        <f t="shared" ref="J92" si="22">SUM(J80:J91)</f>
        <v>0</v>
      </c>
      <c r="K92" s="88">
        <f t="shared" ref="K92" si="23">SUM(K80:K91)</f>
        <v>0</v>
      </c>
      <c r="L92" s="197"/>
      <c r="M92" s="197"/>
    </row>
    <row r="93" spans="1:13">
      <c r="A93" s="197" t="s">
        <v>249</v>
      </c>
      <c r="B93" s="197"/>
      <c r="C93" s="197"/>
      <c r="D93" s="197"/>
      <c r="E93" s="88">
        <f>E78</f>
        <v>2059981.7422489147</v>
      </c>
      <c r="F93" s="88"/>
      <c r="G93" s="88">
        <f>SUM(G78:G91)</f>
        <v>2059981.7422489147</v>
      </c>
      <c r="H93" s="88">
        <f>SUM(H78:H91)</f>
        <v>2059981.7422489147</v>
      </c>
      <c r="I93" s="88">
        <f>SUM(I78:I91)</f>
        <v>2059981.7422489147</v>
      </c>
      <c r="J93" s="88">
        <f>SUM(J78:J91)</f>
        <v>2059981.7422489147</v>
      </c>
      <c r="K93" s="88">
        <f>SUM(K78:K91)</f>
        <v>2059981.7422489147</v>
      </c>
      <c r="L93" s="197"/>
      <c r="M93" s="197"/>
    </row>
    <row r="94" spans="1:13">
      <c r="A94" s="197" t="s">
        <v>250</v>
      </c>
      <c r="B94" s="197"/>
      <c r="C94" s="197"/>
      <c r="D94" s="197"/>
      <c r="E94" s="88"/>
      <c r="F94" s="88"/>
      <c r="G94" s="117">
        <f>G92/G78</f>
        <v>0</v>
      </c>
      <c r="H94" s="117">
        <f t="shared" ref="H94:K94" si="24">H92/H78</f>
        <v>0</v>
      </c>
      <c r="I94" s="117">
        <f t="shared" si="24"/>
        <v>0</v>
      </c>
      <c r="J94" s="117">
        <f t="shared" si="24"/>
        <v>0</v>
      </c>
      <c r="K94" s="117">
        <f t="shared" si="24"/>
        <v>0</v>
      </c>
      <c r="L94" s="197"/>
      <c r="M94" s="197"/>
    </row>
    <row r="95" spans="1:13">
      <c r="A95" s="197"/>
      <c r="B95" s="197"/>
      <c r="C95" s="197"/>
      <c r="D95" s="197"/>
      <c r="E95" s="197"/>
      <c r="F95" s="197"/>
      <c r="G95" s="197"/>
      <c r="H95" s="197"/>
      <c r="I95" s="197"/>
      <c r="J95" s="197"/>
      <c r="K95" s="197"/>
      <c r="L95" s="197"/>
      <c r="M95" s="197"/>
    </row>
    <row r="96" spans="1:13">
      <c r="A96" s="197" t="s">
        <v>251</v>
      </c>
      <c r="B96" s="197"/>
      <c r="C96" s="197"/>
      <c r="D96" s="197"/>
      <c r="E96" s="197"/>
      <c r="F96" s="197"/>
      <c r="G96" s="197"/>
      <c r="H96" s="197"/>
      <c r="I96" s="197"/>
      <c r="J96" s="197"/>
      <c r="K96" s="197"/>
      <c r="L96" s="197"/>
      <c r="M96" s="197"/>
    </row>
    <row r="97" spans="1:13">
      <c r="A97" s="197" t="s">
        <v>252</v>
      </c>
      <c r="B97" s="197"/>
      <c r="C97" s="197"/>
      <c r="D97" s="197"/>
      <c r="E97" s="197"/>
      <c r="F97" s="197"/>
      <c r="G97" s="197"/>
      <c r="H97" s="94"/>
      <c r="I97" s="94"/>
      <c r="J97" s="94"/>
      <c r="K97" s="94"/>
      <c r="L97" s="197"/>
      <c r="M97" s="197"/>
    </row>
    <row r="98" spans="1:13">
      <c r="A98" s="197"/>
      <c r="B98" s="197"/>
      <c r="C98" s="197"/>
      <c r="D98" s="197"/>
      <c r="E98" s="197"/>
      <c r="F98" s="197"/>
      <c r="G98" s="197"/>
      <c r="H98" s="94"/>
      <c r="I98" s="94"/>
      <c r="J98" s="94"/>
      <c r="K98" s="94"/>
      <c r="L98" s="197"/>
      <c r="M98" s="197"/>
    </row>
    <row r="99" spans="1:13">
      <c r="A99" s="239" t="s">
        <v>88</v>
      </c>
      <c r="B99" s="240"/>
      <c r="C99" s="240"/>
      <c r="D99" s="240"/>
      <c r="E99" s="240"/>
      <c r="F99" s="240"/>
      <c r="G99" s="240"/>
      <c r="H99" s="240"/>
      <c r="I99" s="240"/>
      <c r="J99" s="240"/>
      <c r="K99" s="240"/>
      <c r="L99" s="197"/>
      <c r="M99" s="197"/>
    </row>
    <row r="100" spans="1:13">
      <c r="A100" s="197" t="s">
        <v>238</v>
      </c>
      <c r="B100" s="197"/>
      <c r="C100" s="197"/>
      <c r="D100" s="197"/>
      <c r="E100" s="88">
        <f>'Practice Inputs'!D151</f>
        <v>1788415.8616526702</v>
      </c>
      <c r="F100" s="88"/>
      <c r="G100" s="88">
        <f>E100</f>
        <v>1788415.8616526702</v>
      </c>
      <c r="H100" s="88">
        <f t="shared" ref="H100:K100" si="25">G100</f>
        <v>1788415.8616526702</v>
      </c>
      <c r="I100" s="88">
        <f t="shared" si="25"/>
        <v>1788415.8616526702</v>
      </c>
      <c r="J100" s="88">
        <f t="shared" si="25"/>
        <v>1788415.8616526702</v>
      </c>
      <c r="K100" s="88">
        <f t="shared" si="25"/>
        <v>1788415.8616526702</v>
      </c>
      <c r="L100" s="197"/>
      <c r="M100" s="197"/>
    </row>
    <row r="101" spans="1:13">
      <c r="A101" s="197" t="s">
        <v>239</v>
      </c>
      <c r="B101" s="197"/>
      <c r="C101" s="197"/>
      <c r="D101" s="197"/>
      <c r="E101" s="88"/>
      <c r="F101" s="88"/>
      <c r="G101" s="88"/>
      <c r="H101" s="88"/>
      <c r="I101" s="88"/>
      <c r="J101" s="88"/>
      <c r="K101" s="88"/>
      <c r="L101" s="197"/>
      <c r="M101" s="197"/>
    </row>
    <row r="102" spans="1:13">
      <c r="A102" s="241" t="s">
        <v>240</v>
      </c>
      <c r="B102" s="197"/>
      <c r="C102" s="197"/>
      <c r="D102" s="197"/>
      <c r="E102" s="88"/>
      <c r="F102" s="88"/>
      <c r="G102" s="88">
        <f>'Change Inputs'!$D590*'Change Inputs'!L590+'Change Inputs'!Q590</f>
        <v>0</v>
      </c>
      <c r="H102" s="88">
        <f>'Change Inputs'!$D590*'Change Inputs'!M590+'Change Inputs'!R590</f>
        <v>0</v>
      </c>
      <c r="I102" s="88">
        <f>'Change Inputs'!$D590*'Change Inputs'!N590+'Change Inputs'!S590</f>
        <v>0</v>
      </c>
      <c r="J102" s="88">
        <f>'Change Inputs'!$D590*'Change Inputs'!O590+'Change Inputs'!T590</f>
        <v>0</v>
      </c>
      <c r="K102" s="88">
        <f>'Change Inputs'!$D590*'Change Inputs'!P590+'Change Inputs'!U590</f>
        <v>0</v>
      </c>
      <c r="L102" s="197"/>
      <c r="M102" s="197"/>
    </row>
    <row r="103" spans="1:13">
      <c r="A103" s="241" t="s">
        <v>94</v>
      </c>
      <c r="B103" s="197"/>
      <c r="C103" s="197"/>
      <c r="D103" s="197"/>
      <c r="E103" s="88"/>
      <c r="F103" s="88"/>
      <c r="G103" s="88">
        <f>'Change Inputs'!$D591*'Change Inputs'!L591+'Change Inputs'!Q591</f>
        <v>0</v>
      </c>
      <c r="H103" s="88">
        <f>'Change Inputs'!$D591*'Change Inputs'!M591+'Change Inputs'!R591</f>
        <v>0</v>
      </c>
      <c r="I103" s="88">
        <f>'Change Inputs'!$D591*'Change Inputs'!N591+'Change Inputs'!S591</f>
        <v>0</v>
      </c>
      <c r="J103" s="88">
        <f>'Change Inputs'!$D591*'Change Inputs'!O591+'Change Inputs'!T591</f>
        <v>0</v>
      </c>
      <c r="K103" s="88">
        <f>'Change Inputs'!$D591*'Change Inputs'!P591+'Change Inputs'!U591</f>
        <v>0</v>
      </c>
      <c r="L103" s="197"/>
      <c r="M103" s="197"/>
    </row>
    <row r="104" spans="1:13">
      <c r="A104" s="197" t="s">
        <v>241</v>
      </c>
      <c r="B104" s="197"/>
      <c r="C104" s="197"/>
      <c r="D104" s="197"/>
      <c r="E104" s="88"/>
      <c r="F104" s="88"/>
      <c r="G104" s="88"/>
      <c r="H104" s="88"/>
      <c r="I104" s="88"/>
      <c r="J104" s="88"/>
      <c r="K104" s="88"/>
      <c r="L104" s="197"/>
      <c r="M104" s="197"/>
    </row>
    <row r="105" spans="1:13">
      <c r="A105" s="241" t="s">
        <v>242</v>
      </c>
      <c r="B105" s="197"/>
      <c r="C105" s="197"/>
      <c r="D105" s="197"/>
      <c r="E105" s="88"/>
      <c r="F105" s="88"/>
      <c r="G105" s="88" t="e">
        <f>'Change Inputs'!$D593*'Change Inputs'!L593+'Change Inputs'!Q593</f>
        <v>#VALUE!</v>
      </c>
      <c r="H105" s="88" t="e">
        <f>'Change Inputs'!$D593*'Change Inputs'!M593+'Change Inputs'!R593</f>
        <v>#VALUE!</v>
      </c>
      <c r="I105" s="88" t="e">
        <f>'Change Inputs'!$D593*'Change Inputs'!N593+'Change Inputs'!S593</f>
        <v>#VALUE!</v>
      </c>
      <c r="J105" s="88" t="e">
        <f>'Change Inputs'!$D593*'Change Inputs'!O593+'Change Inputs'!T593</f>
        <v>#VALUE!</v>
      </c>
      <c r="K105" s="88" t="e">
        <f>'Change Inputs'!$D593*'Change Inputs'!P593+'Change Inputs'!U593</f>
        <v>#VALUE!</v>
      </c>
      <c r="L105" s="197"/>
      <c r="M105" s="197"/>
    </row>
    <row r="106" spans="1:13">
      <c r="A106" s="241" t="s">
        <v>243</v>
      </c>
      <c r="B106" s="197"/>
      <c r="C106" s="197"/>
      <c r="D106" s="197"/>
      <c r="E106" s="88"/>
      <c r="F106" s="88"/>
      <c r="G106" s="88">
        <f>'Change Inputs'!$D594*'Change Inputs'!L594+'Change Inputs'!Q594</f>
        <v>0</v>
      </c>
      <c r="H106" s="88">
        <f>'Change Inputs'!$D594*'Change Inputs'!M594+'Change Inputs'!R594</f>
        <v>0</v>
      </c>
      <c r="I106" s="88">
        <f>'Change Inputs'!$D594*'Change Inputs'!N594+'Change Inputs'!S594</f>
        <v>0</v>
      </c>
      <c r="J106" s="88">
        <f>'Change Inputs'!$D594*'Change Inputs'!O594+'Change Inputs'!T594</f>
        <v>0</v>
      </c>
      <c r="K106" s="88">
        <f>'Change Inputs'!$D594*'Change Inputs'!P594+'Change Inputs'!U594</f>
        <v>0</v>
      </c>
      <c r="L106" s="197"/>
      <c r="M106" s="197"/>
    </row>
    <row r="107" spans="1:13">
      <c r="A107" s="241" t="s">
        <v>244</v>
      </c>
      <c r="B107" s="197"/>
      <c r="C107" s="197"/>
      <c r="D107" s="197"/>
      <c r="E107" s="88"/>
      <c r="F107" s="88"/>
      <c r="G107" s="88">
        <f>'Change Inputs'!$D595*'Change Inputs'!L595+'Change Inputs'!Q595</f>
        <v>0</v>
      </c>
      <c r="H107" s="88">
        <f>'Change Inputs'!$D595*'Change Inputs'!M595+'Change Inputs'!R595</f>
        <v>0</v>
      </c>
      <c r="I107" s="88">
        <f>'Change Inputs'!$D595*'Change Inputs'!N595+'Change Inputs'!S595</f>
        <v>0</v>
      </c>
      <c r="J107" s="88">
        <f>'Change Inputs'!$D595*'Change Inputs'!O595+'Change Inputs'!T595</f>
        <v>0</v>
      </c>
      <c r="K107" s="88">
        <f>'Change Inputs'!$D595*'Change Inputs'!P595+'Change Inputs'!U595</f>
        <v>0</v>
      </c>
      <c r="L107" s="197"/>
      <c r="M107" s="197"/>
    </row>
    <row r="108" spans="1:13">
      <c r="A108" s="241" t="s">
        <v>102</v>
      </c>
      <c r="B108" s="197"/>
      <c r="C108" s="197"/>
      <c r="D108" s="197"/>
      <c r="E108" s="88"/>
      <c r="F108" s="88"/>
      <c r="G108" s="88">
        <f>'Change Inputs'!$D596*'Change Inputs'!L596+'Change Inputs'!Q596</f>
        <v>0</v>
      </c>
      <c r="H108" s="88">
        <f>'Change Inputs'!$D596*'Change Inputs'!M596+'Change Inputs'!R596</f>
        <v>0</v>
      </c>
      <c r="I108" s="88">
        <f>'Change Inputs'!$D596*'Change Inputs'!N596+'Change Inputs'!S596</f>
        <v>0</v>
      </c>
      <c r="J108" s="88">
        <f>'Change Inputs'!$D596*'Change Inputs'!O596+'Change Inputs'!T596</f>
        <v>0</v>
      </c>
      <c r="K108" s="88">
        <f>'Change Inputs'!$D596*'Change Inputs'!P596+'Change Inputs'!U596</f>
        <v>0</v>
      </c>
      <c r="L108" s="197"/>
      <c r="M108" s="197"/>
    </row>
    <row r="109" spans="1:13">
      <c r="A109" s="197" t="s">
        <v>145</v>
      </c>
      <c r="B109" s="197"/>
      <c r="C109" s="197"/>
      <c r="D109" s="197"/>
      <c r="E109" s="88"/>
      <c r="F109" s="88"/>
      <c r="G109" s="88"/>
      <c r="H109" s="88"/>
      <c r="I109" s="88"/>
      <c r="J109" s="88"/>
      <c r="K109" s="88"/>
      <c r="L109" s="197"/>
      <c r="M109" s="197"/>
    </row>
    <row r="110" spans="1:13">
      <c r="A110" s="241" t="s">
        <v>245</v>
      </c>
      <c r="B110" s="197"/>
      <c r="C110" s="197"/>
      <c r="D110" s="197"/>
      <c r="E110" s="88"/>
      <c r="F110" s="88"/>
      <c r="G110" s="88">
        <f>'Change Inputs'!$D598*'Change Inputs'!L598+'Change Inputs'!Q598</f>
        <v>0</v>
      </c>
      <c r="H110" s="88">
        <f>'Change Inputs'!$D598*'Change Inputs'!M598+'Change Inputs'!R598</f>
        <v>0</v>
      </c>
      <c r="I110" s="88">
        <f>'Change Inputs'!$D598*'Change Inputs'!N598+'Change Inputs'!S598</f>
        <v>0</v>
      </c>
      <c r="J110" s="88">
        <f>'Change Inputs'!$D598*'Change Inputs'!O598+'Change Inputs'!T598</f>
        <v>0</v>
      </c>
      <c r="K110" s="88">
        <f>'Change Inputs'!$D598*'Change Inputs'!P598+'Change Inputs'!U598</f>
        <v>0</v>
      </c>
      <c r="L110" s="197"/>
      <c r="M110" s="197"/>
    </row>
    <row r="111" spans="1:13">
      <c r="A111" s="241" t="s">
        <v>246</v>
      </c>
      <c r="B111" s="197"/>
      <c r="C111" s="197"/>
      <c r="D111" s="197"/>
      <c r="E111" s="88"/>
      <c r="F111" s="88"/>
      <c r="G111" s="88">
        <f>'Change Inputs'!$D599*'Change Inputs'!L599+'Change Inputs'!Q599</f>
        <v>0</v>
      </c>
      <c r="H111" s="88">
        <f>'Change Inputs'!$D599*'Change Inputs'!M599+'Change Inputs'!R599</f>
        <v>0</v>
      </c>
      <c r="I111" s="88">
        <f>'Change Inputs'!$D599*'Change Inputs'!N599+'Change Inputs'!S599</f>
        <v>0</v>
      </c>
      <c r="J111" s="88">
        <f>'Change Inputs'!$D599*'Change Inputs'!O599+'Change Inputs'!T599</f>
        <v>0</v>
      </c>
      <c r="K111" s="88">
        <f>'Change Inputs'!$D599*'Change Inputs'!P599+'Change Inputs'!U599</f>
        <v>0</v>
      </c>
      <c r="L111" s="197"/>
      <c r="M111" s="197"/>
    </row>
    <row r="112" spans="1:13">
      <c r="A112" s="241" t="s">
        <v>150</v>
      </c>
      <c r="B112" s="197"/>
      <c r="C112" s="197"/>
      <c r="D112" s="197"/>
      <c r="E112" s="88"/>
      <c r="F112" s="88"/>
      <c r="G112" s="88">
        <f>'Change Inputs'!$D601*'Change Inputs'!L601+'Change Inputs'!Q601</f>
        <v>0</v>
      </c>
      <c r="H112" s="88">
        <f>'Change Inputs'!$D601*'Change Inputs'!M601+'Change Inputs'!R601</f>
        <v>0</v>
      </c>
      <c r="I112" s="88">
        <f>'Change Inputs'!$D601*'Change Inputs'!N601+'Change Inputs'!S601</f>
        <v>0</v>
      </c>
      <c r="J112" s="88">
        <f>'Change Inputs'!$D601*'Change Inputs'!O601+'Change Inputs'!T601</f>
        <v>0</v>
      </c>
      <c r="K112" s="88">
        <f>'Change Inputs'!$D601*'Change Inputs'!P601+'Change Inputs'!U601</f>
        <v>0</v>
      </c>
      <c r="L112" s="197"/>
      <c r="M112" s="197"/>
    </row>
    <row r="113" spans="1:13">
      <c r="A113" s="241" t="s">
        <v>247</v>
      </c>
      <c r="B113" s="197"/>
      <c r="C113" s="197"/>
      <c r="D113" s="197"/>
      <c r="E113" s="88"/>
      <c r="F113" s="88"/>
      <c r="G113" s="88">
        <f>'Change Inputs'!$D600*'Change Inputs'!L600+'Change Inputs'!Q600</f>
        <v>0</v>
      </c>
      <c r="H113" s="88">
        <f>'Change Inputs'!$D600*'Change Inputs'!M600+'Change Inputs'!R600</f>
        <v>0</v>
      </c>
      <c r="I113" s="88">
        <f>'Change Inputs'!$D600*'Change Inputs'!N600+'Change Inputs'!S600</f>
        <v>0</v>
      </c>
      <c r="J113" s="88">
        <f>'Change Inputs'!$D600*'Change Inputs'!O600+'Change Inputs'!T600</f>
        <v>0</v>
      </c>
      <c r="K113" s="88">
        <f>'Change Inputs'!$D600*'Change Inputs'!P600+'Change Inputs'!U600</f>
        <v>0</v>
      </c>
      <c r="L113" s="197"/>
      <c r="M113" s="197"/>
    </row>
    <row r="114" spans="1:13">
      <c r="A114" s="197"/>
      <c r="B114" s="197" t="s">
        <v>253</v>
      </c>
      <c r="C114" s="197"/>
      <c r="D114" s="197"/>
      <c r="E114" s="197"/>
      <c r="F114" s="197"/>
      <c r="G114" s="88" t="e">
        <f>SUM(G102:G113)</f>
        <v>#VALUE!</v>
      </c>
      <c r="H114" s="88" t="e">
        <f t="shared" ref="H114:K114" si="26">SUM(H102:H113)</f>
        <v>#VALUE!</v>
      </c>
      <c r="I114" s="88" t="e">
        <f t="shared" si="26"/>
        <v>#VALUE!</v>
      </c>
      <c r="J114" s="88" t="e">
        <f t="shared" si="26"/>
        <v>#VALUE!</v>
      </c>
      <c r="K114" s="88" t="e">
        <f t="shared" si="26"/>
        <v>#VALUE!</v>
      </c>
      <c r="L114" s="197"/>
      <c r="M114" s="197"/>
    </row>
    <row r="115" spans="1:13">
      <c r="A115" s="197" t="s">
        <v>254</v>
      </c>
      <c r="B115" s="197"/>
      <c r="C115" s="197"/>
      <c r="D115" s="197"/>
      <c r="E115" s="88">
        <f>E100</f>
        <v>1788415.8616526702</v>
      </c>
      <c r="F115" s="88"/>
      <c r="G115" s="88" t="e">
        <f>SUM(G100:G113)</f>
        <v>#VALUE!</v>
      </c>
      <c r="H115" s="88" t="e">
        <f>SUM(H100:H113)</f>
        <v>#VALUE!</v>
      </c>
      <c r="I115" s="88" t="e">
        <f>SUM(I100:I113)</f>
        <v>#VALUE!</v>
      </c>
      <c r="J115" s="88" t="e">
        <f>SUM(J100:J113)</f>
        <v>#VALUE!</v>
      </c>
      <c r="K115" s="88" t="e">
        <f>SUM(K100:K113)</f>
        <v>#VALUE!</v>
      </c>
      <c r="L115" s="197"/>
      <c r="M115" s="197"/>
    </row>
    <row r="116" spans="1:13">
      <c r="A116" s="197" t="s">
        <v>250</v>
      </c>
      <c r="B116" s="197"/>
      <c r="C116" s="197"/>
      <c r="D116" s="197"/>
      <c r="E116" s="197"/>
      <c r="F116" s="88"/>
      <c r="G116" s="117" t="e">
        <f>G114/G100</f>
        <v>#VALUE!</v>
      </c>
      <c r="H116" s="117" t="e">
        <f>H114/H100</f>
        <v>#VALUE!</v>
      </c>
      <c r="I116" s="117" t="e">
        <f t="shared" ref="I116:K116" si="27">I114/I100</f>
        <v>#VALUE!</v>
      </c>
      <c r="J116" s="117" t="e">
        <f t="shared" si="27"/>
        <v>#VALUE!</v>
      </c>
      <c r="K116" s="117" t="e">
        <f t="shared" si="27"/>
        <v>#VALUE!</v>
      </c>
      <c r="L116" s="94"/>
      <c r="M116" s="197"/>
    </row>
    <row r="117" spans="1:13">
      <c r="A117" s="197"/>
      <c r="B117" s="197"/>
      <c r="C117" s="197"/>
      <c r="D117" s="197"/>
      <c r="E117" s="197"/>
      <c r="F117" s="88"/>
      <c r="G117" s="117"/>
      <c r="H117" s="117"/>
      <c r="I117" s="117"/>
      <c r="J117" s="117"/>
      <c r="K117" s="117"/>
      <c r="L117" s="94"/>
      <c r="M117" s="197"/>
    </row>
    <row r="118" spans="1:13">
      <c r="A118" s="239" t="s">
        <v>89</v>
      </c>
      <c r="B118" s="240"/>
      <c r="C118" s="240"/>
      <c r="D118" s="240"/>
      <c r="E118" s="240"/>
      <c r="F118" s="240"/>
      <c r="G118" s="240"/>
      <c r="H118" s="240"/>
      <c r="I118" s="240"/>
      <c r="J118" s="240"/>
      <c r="K118" s="240"/>
      <c r="L118" s="197"/>
      <c r="M118" s="197"/>
    </row>
    <row r="119" spans="1:13">
      <c r="A119" s="197"/>
      <c r="B119" s="197" t="s">
        <v>255</v>
      </c>
      <c r="C119" s="197"/>
      <c r="D119" s="197"/>
      <c r="E119" s="88">
        <f>E78-E100</f>
        <v>271565.88059624447</v>
      </c>
      <c r="F119" s="88"/>
      <c r="G119" s="88">
        <f>G78-G100</f>
        <v>271565.88059624447</v>
      </c>
      <c r="H119" s="88">
        <f>H78-H100</f>
        <v>271565.88059624447</v>
      </c>
      <c r="I119" s="88">
        <f>I78-I100</f>
        <v>271565.88059624447</v>
      </c>
      <c r="J119" s="88">
        <f>J78-J100</f>
        <v>271565.88059624447</v>
      </c>
      <c r="K119" s="88">
        <f>K78-K100</f>
        <v>271565.88059624447</v>
      </c>
      <c r="L119" s="197"/>
      <c r="M119" s="197"/>
    </row>
    <row r="120" spans="1:13">
      <c r="A120" s="197"/>
      <c r="B120" s="197" t="s">
        <v>256</v>
      </c>
      <c r="C120" s="197"/>
      <c r="D120" s="197"/>
      <c r="E120" s="88">
        <f>E93-E115</f>
        <v>271565.88059624447</v>
      </c>
      <c r="F120" s="88"/>
      <c r="G120" s="88" t="e">
        <f>G93-G115</f>
        <v>#VALUE!</v>
      </c>
      <c r="H120" s="88" t="e">
        <f>H93-H115</f>
        <v>#VALUE!</v>
      </c>
      <c r="I120" s="88" t="e">
        <f>I93-I115</f>
        <v>#VALUE!</v>
      </c>
      <c r="J120" s="88" t="e">
        <f>J93-J115</f>
        <v>#VALUE!</v>
      </c>
      <c r="K120" s="88" t="e">
        <f>K93-K115</f>
        <v>#VALUE!</v>
      </c>
      <c r="L120" s="197"/>
      <c r="M120" s="197"/>
    </row>
    <row r="121" spans="1:13">
      <c r="A121" s="197"/>
      <c r="B121" s="197" t="s">
        <v>257</v>
      </c>
      <c r="C121" s="197"/>
      <c r="D121" s="197"/>
      <c r="E121" s="88"/>
      <c r="F121" s="88"/>
      <c r="G121" s="88" t="e">
        <f>G120-G119</f>
        <v>#VALUE!</v>
      </c>
      <c r="H121" s="88" t="e">
        <f t="shared" ref="H121:K121" si="28">H120-H119</f>
        <v>#VALUE!</v>
      </c>
      <c r="I121" s="88" t="e">
        <f t="shared" si="28"/>
        <v>#VALUE!</v>
      </c>
      <c r="J121" s="88" t="e">
        <f t="shared" si="28"/>
        <v>#VALUE!</v>
      </c>
      <c r="K121" s="88" t="e">
        <f t="shared" si="28"/>
        <v>#VALUE!</v>
      </c>
      <c r="L121" s="197"/>
      <c r="M121" s="197"/>
    </row>
    <row r="122" spans="1:13">
      <c r="A122" s="197"/>
      <c r="B122" s="197"/>
      <c r="C122" s="197"/>
      <c r="D122" s="197"/>
      <c r="E122" s="234"/>
      <c r="F122" s="234"/>
      <c r="G122" s="234"/>
      <c r="H122" s="234"/>
      <c r="I122" s="234"/>
      <c r="J122" s="234"/>
      <c r="K122" s="234"/>
      <c r="L122" s="197"/>
      <c r="M122" s="197"/>
    </row>
    <row r="123" spans="1:13">
      <c r="A123" s="235"/>
      <c r="B123" s="235"/>
      <c r="C123" s="235"/>
      <c r="D123" s="235"/>
      <c r="E123" s="235"/>
      <c r="F123" s="235"/>
      <c r="G123" s="236" t="s">
        <v>185</v>
      </c>
      <c r="H123" s="236"/>
      <c r="I123" s="236"/>
      <c r="J123" s="236"/>
      <c r="K123" s="236"/>
      <c r="L123" s="197"/>
      <c r="M123" s="197"/>
    </row>
    <row r="124" spans="1:13">
      <c r="A124" s="237"/>
      <c r="B124" s="235"/>
      <c r="C124" s="235"/>
      <c r="D124" s="235"/>
      <c r="E124" s="238" t="s">
        <v>187</v>
      </c>
      <c r="F124" s="238"/>
      <c r="G124" s="238" t="s">
        <v>188</v>
      </c>
      <c r="H124" s="238" t="s">
        <v>189</v>
      </c>
      <c r="I124" s="238" t="s">
        <v>190</v>
      </c>
      <c r="J124" s="238" t="s">
        <v>191</v>
      </c>
      <c r="K124" s="238" t="s">
        <v>192</v>
      </c>
      <c r="L124" s="197"/>
      <c r="M124" s="197"/>
    </row>
    <row r="125" spans="1:13">
      <c r="A125" s="239" t="s">
        <v>48</v>
      </c>
      <c r="B125" s="240"/>
      <c r="C125" s="240"/>
      <c r="D125" s="240"/>
      <c r="E125" s="240"/>
      <c r="F125" s="240"/>
      <c r="G125" s="240"/>
      <c r="H125" s="240"/>
      <c r="I125" s="240"/>
      <c r="J125" s="240"/>
      <c r="K125" s="240"/>
      <c r="L125" s="197"/>
      <c r="M125" s="197"/>
    </row>
    <row r="126" spans="1:13">
      <c r="A126" s="197"/>
      <c r="B126" s="197"/>
      <c r="C126" s="197"/>
      <c r="D126" s="197"/>
      <c r="E126" s="97"/>
      <c r="F126" s="97"/>
      <c r="G126" s="197"/>
      <c r="H126" s="197"/>
      <c r="I126" s="197"/>
      <c r="J126" s="197"/>
      <c r="K126" s="197"/>
      <c r="L126" s="197"/>
      <c r="M126" s="197"/>
    </row>
    <row r="127" spans="1:13">
      <c r="A127" s="197"/>
      <c r="B127" s="197" t="s">
        <v>195</v>
      </c>
      <c r="C127" s="197"/>
      <c r="D127" s="197"/>
      <c r="E127" s="97"/>
      <c r="F127" s="97"/>
      <c r="G127" s="97">
        <f>'Change Inputs'!L603</f>
        <v>0</v>
      </c>
      <c r="H127" s="97">
        <f>'Change Inputs'!M603</f>
        <v>0</v>
      </c>
      <c r="I127" s="97">
        <f>'Change Inputs'!N603</f>
        <v>0</v>
      </c>
      <c r="J127" s="97">
        <f>'Change Inputs'!O603</f>
        <v>0</v>
      </c>
      <c r="K127" s="97">
        <f>'Change Inputs'!P603</f>
        <v>0</v>
      </c>
      <c r="L127" s="197"/>
      <c r="M127" s="197"/>
    </row>
    <row r="128" spans="1:13">
      <c r="A128" s="197"/>
      <c r="B128" s="197" t="s">
        <v>196</v>
      </c>
      <c r="C128" s="197"/>
      <c r="D128" s="197"/>
      <c r="E128" s="97"/>
      <c r="F128" s="97"/>
      <c r="G128" s="97">
        <f>'Change Inputs'!L604</f>
        <v>0</v>
      </c>
      <c r="H128" s="97">
        <f>'Change Inputs'!M604</f>
        <v>0</v>
      </c>
      <c r="I128" s="97">
        <f>'Change Inputs'!N604</f>
        <v>0</v>
      </c>
      <c r="J128" s="97">
        <f>'Change Inputs'!O604</f>
        <v>0</v>
      </c>
      <c r="K128" s="97">
        <f>'Change Inputs'!P604</f>
        <v>0</v>
      </c>
      <c r="L128" s="197"/>
      <c r="M128" s="197"/>
    </row>
    <row r="129" spans="1:13">
      <c r="A129" s="197"/>
      <c r="B129" s="197" t="s">
        <v>197</v>
      </c>
      <c r="C129" s="197"/>
      <c r="D129" s="197"/>
      <c r="E129" s="97"/>
      <c r="F129" s="97"/>
      <c r="G129" s="97">
        <f>'Change Inputs'!L605</f>
        <v>0</v>
      </c>
      <c r="H129" s="97">
        <f>'Change Inputs'!M605</f>
        <v>0</v>
      </c>
      <c r="I129" s="97">
        <f>'Change Inputs'!N605</f>
        <v>0</v>
      </c>
      <c r="J129" s="97">
        <f>'Change Inputs'!O605</f>
        <v>0</v>
      </c>
      <c r="K129" s="97">
        <f>'Change Inputs'!P605</f>
        <v>0</v>
      </c>
      <c r="L129" s="197"/>
      <c r="M129" s="197"/>
    </row>
    <row r="130" spans="1:13">
      <c r="A130" s="243"/>
      <c r="B130" s="244" t="s">
        <v>258</v>
      </c>
      <c r="C130" s="197"/>
      <c r="D130" s="197"/>
      <c r="E130" s="97">
        <f>SUM(E127:E129)</f>
        <v>0</v>
      </c>
      <c r="F130" s="97"/>
      <c r="G130" s="97">
        <f>G127+G128+G129</f>
        <v>0</v>
      </c>
      <c r="H130" s="97">
        <f>H127+H128+H129</f>
        <v>0</v>
      </c>
      <c r="I130" s="97">
        <f>I127+I128+I129</f>
        <v>0</v>
      </c>
      <c r="J130" s="97">
        <f>J127+J128+J129</f>
        <v>0</v>
      </c>
      <c r="K130" s="97">
        <f>K127+K128+K129</f>
        <v>0</v>
      </c>
      <c r="L130" s="197"/>
      <c r="M130" s="197"/>
    </row>
    <row r="131" spans="1:13">
      <c r="A131" s="243"/>
      <c r="B131" s="197"/>
      <c r="C131" s="197" t="s">
        <v>52</v>
      </c>
      <c r="D131" s="197"/>
      <c r="E131" s="98">
        <f>E130/E$8</f>
        <v>0</v>
      </c>
      <c r="F131" s="98"/>
      <c r="G131" s="98">
        <f>G130/G$8</f>
        <v>0</v>
      </c>
      <c r="H131" s="98">
        <f>H130/H$8</f>
        <v>0</v>
      </c>
      <c r="I131" s="98">
        <f>I130/I$8</f>
        <v>0</v>
      </c>
      <c r="J131" s="98">
        <f>J130/J$8</f>
        <v>0</v>
      </c>
      <c r="K131" s="98">
        <f>K130/K$8</f>
        <v>0</v>
      </c>
      <c r="L131" s="197"/>
      <c r="M131" s="197"/>
    </row>
    <row r="132" spans="1:13">
      <c r="A132" s="243"/>
      <c r="B132" s="197"/>
      <c r="C132" s="197"/>
      <c r="D132" s="197"/>
      <c r="E132" s="98"/>
      <c r="F132" s="98"/>
      <c r="G132" s="197"/>
      <c r="H132" s="197"/>
      <c r="I132" s="197"/>
      <c r="J132" s="197"/>
      <c r="K132" s="197"/>
      <c r="L132" s="197"/>
      <c r="M132" s="197"/>
    </row>
    <row r="133" spans="1:13">
      <c r="A133" s="197" t="s">
        <v>199</v>
      </c>
      <c r="B133" s="197"/>
      <c r="C133" s="197"/>
      <c r="D133" s="197"/>
      <c r="E133" s="97"/>
      <c r="F133" s="97"/>
      <c r="G133" s="97"/>
      <c r="H133" s="97"/>
      <c r="I133" s="97"/>
      <c r="J133" s="97"/>
      <c r="K133" s="97"/>
      <c r="L133" s="197"/>
      <c r="M133" s="197"/>
    </row>
    <row r="134" spans="1:13">
      <c r="A134" s="197" t="s">
        <v>200</v>
      </c>
      <c r="B134" s="197"/>
      <c r="C134" s="197"/>
      <c r="D134" s="197"/>
      <c r="E134" s="97"/>
      <c r="F134" s="97"/>
      <c r="G134" s="97"/>
      <c r="H134" s="97"/>
      <c r="I134" s="97"/>
      <c r="J134" s="97"/>
      <c r="K134" s="97"/>
      <c r="L134" s="197"/>
      <c r="M134" s="197"/>
    </row>
    <row r="135" spans="1:13">
      <c r="A135" s="197"/>
      <c r="B135" s="197"/>
      <c r="C135" s="197"/>
      <c r="D135" s="197"/>
      <c r="E135" s="97"/>
      <c r="F135" s="97"/>
      <c r="G135" s="97"/>
      <c r="H135" s="97"/>
      <c r="I135" s="97"/>
      <c r="J135" s="97"/>
      <c r="K135" s="97"/>
      <c r="L135" s="197"/>
      <c r="M135" s="197"/>
    </row>
    <row r="136" spans="1:13">
      <c r="A136" s="235"/>
      <c r="B136" s="235"/>
      <c r="C136" s="235"/>
      <c r="D136" s="235"/>
      <c r="E136" s="235"/>
      <c r="F136" s="235"/>
      <c r="G136" s="236" t="s">
        <v>185</v>
      </c>
      <c r="H136" s="236"/>
      <c r="I136" s="236"/>
      <c r="J136" s="236"/>
      <c r="K136" s="236"/>
      <c r="L136" s="236"/>
      <c r="M136" s="236"/>
    </row>
    <row r="137" spans="1:13">
      <c r="A137" s="237"/>
      <c r="B137" s="235"/>
      <c r="C137" s="235"/>
      <c r="D137" s="235"/>
      <c r="E137" s="238" t="s">
        <v>187</v>
      </c>
      <c r="F137" s="238"/>
      <c r="G137" s="238" t="s">
        <v>188</v>
      </c>
      <c r="H137" s="238" t="s">
        <v>189</v>
      </c>
      <c r="I137" s="238" t="s">
        <v>190</v>
      </c>
      <c r="J137" s="238" t="s">
        <v>191</v>
      </c>
      <c r="K137" s="238" t="s">
        <v>192</v>
      </c>
      <c r="L137" s="238"/>
      <c r="M137" s="238" t="s">
        <v>259</v>
      </c>
    </row>
    <row r="138" spans="1:13">
      <c r="A138" s="239" t="s">
        <v>87</v>
      </c>
      <c r="B138" s="240"/>
      <c r="C138" s="240"/>
      <c r="D138" s="240"/>
      <c r="E138" s="240"/>
      <c r="F138" s="240"/>
      <c r="G138" s="240"/>
      <c r="H138" s="240"/>
      <c r="I138" s="240"/>
      <c r="J138" s="240"/>
      <c r="K138" s="240"/>
      <c r="L138" s="240"/>
      <c r="M138" s="240"/>
    </row>
    <row r="139" spans="1:13">
      <c r="A139" s="197"/>
      <c r="B139" s="197"/>
      <c r="C139" s="197"/>
      <c r="D139" s="197"/>
      <c r="E139" s="97"/>
      <c r="F139" s="97"/>
      <c r="G139" s="197"/>
      <c r="H139" s="197"/>
      <c r="I139" s="197"/>
      <c r="J139" s="197"/>
      <c r="K139" s="197"/>
      <c r="L139" s="197"/>
      <c r="M139" s="197"/>
    </row>
    <row r="140" spans="1:13">
      <c r="A140" s="197"/>
      <c r="B140" s="197" t="str">
        <f>'Practice Inputs'!A28</f>
        <v>General practitioner</v>
      </c>
      <c r="C140" s="197"/>
      <c r="D140" s="197"/>
      <c r="E140" s="98">
        <f>'Practice Inputs'!H28</f>
        <v>2.9848890512334396</v>
      </c>
      <c r="F140" s="97"/>
      <c r="G140" s="98">
        <f>'Change Inputs'!O609</f>
        <v>0</v>
      </c>
      <c r="H140" s="98">
        <f>'Change Inputs'!P609</f>
        <v>0</v>
      </c>
      <c r="I140" s="98">
        <f>'Change Inputs'!Q609</f>
        <v>0</v>
      </c>
      <c r="J140" s="98">
        <f>'Change Inputs'!R609</f>
        <v>0</v>
      </c>
      <c r="K140" s="207">
        <f>'Change Inputs'!S609</f>
        <v>0</v>
      </c>
      <c r="L140" s="197"/>
      <c r="M140" s="94">
        <f>IFERROR(K140/E140,"")</f>
        <v>0</v>
      </c>
    </row>
    <row r="141" spans="1:13">
      <c r="A141" s="197"/>
      <c r="B141" s="197" t="str">
        <f>'Practice Inputs'!A29</f>
        <v>Nurse practitioner</v>
      </c>
      <c r="C141" s="197"/>
      <c r="D141" s="197"/>
      <c r="E141" s="98">
        <f>'Practice Inputs'!H29</f>
        <v>0</v>
      </c>
      <c r="F141" s="97"/>
      <c r="G141" s="98">
        <f>'Change Inputs'!O610</f>
        <v>0</v>
      </c>
      <c r="H141" s="98">
        <f>'Change Inputs'!P610</f>
        <v>0</v>
      </c>
      <c r="I141" s="98">
        <f>'Change Inputs'!Q610</f>
        <v>0</v>
      </c>
      <c r="J141" s="98">
        <f>'Change Inputs'!R610</f>
        <v>0</v>
      </c>
      <c r="K141" s="207">
        <f>'Change Inputs'!S610</f>
        <v>0</v>
      </c>
      <c r="L141" s="197"/>
      <c r="M141" s="94" t="str">
        <f t="shared" ref="M141:M160" si="29">IFERROR(K141/E141,"")</f>
        <v/>
      </c>
    </row>
    <row r="142" spans="1:13">
      <c r="A142" s="197"/>
      <c r="B142" s="197" t="str">
        <f>'Practice Inputs'!A30</f>
        <v>Nurse</v>
      </c>
      <c r="C142" s="197"/>
      <c r="D142" s="197"/>
      <c r="E142" s="98">
        <f>'Practice Inputs'!H30</f>
        <v>2.3489345597557456</v>
      </c>
      <c r="F142" s="97"/>
      <c r="G142" s="98">
        <f>'Change Inputs'!O611</f>
        <v>0</v>
      </c>
      <c r="H142" s="98">
        <f>'Change Inputs'!P611</f>
        <v>0</v>
      </c>
      <c r="I142" s="98">
        <f>'Change Inputs'!Q611</f>
        <v>0</v>
      </c>
      <c r="J142" s="98">
        <f>'Change Inputs'!R611</f>
        <v>0</v>
      </c>
      <c r="K142" s="207">
        <f>'Change Inputs'!S611</f>
        <v>0</v>
      </c>
      <c r="L142" s="197"/>
      <c r="M142" s="94">
        <f t="shared" si="29"/>
        <v>0</v>
      </c>
    </row>
    <row r="143" spans="1:13">
      <c r="A143" s="243"/>
      <c r="B143" s="197" t="str">
        <f>'Practice Inputs'!A31</f>
        <v>Healthcare Assistant</v>
      </c>
      <c r="C143" s="197"/>
      <c r="D143" s="197"/>
      <c r="E143" s="98">
        <f>'Practice Inputs'!H31</f>
        <v>1.5224575850268718</v>
      </c>
      <c r="F143" s="97"/>
      <c r="G143" s="98">
        <f>'Change Inputs'!O612</f>
        <v>0</v>
      </c>
      <c r="H143" s="98">
        <f>'Change Inputs'!P612</f>
        <v>0</v>
      </c>
      <c r="I143" s="98">
        <f>'Change Inputs'!Q612</f>
        <v>0</v>
      </c>
      <c r="J143" s="98">
        <f>'Change Inputs'!R612</f>
        <v>0</v>
      </c>
      <c r="K143" s="207">
        <f>'Change Inputs'!S612</f>
        <v>0</v>
      </c>
      <c r="L143" s="197"/>
      <c r="M143" s="94">
        <f>IFERROR(K143/E143,"")</f>
        <v>0</v>
      </c>
    </row>
    <row r="144" spans="1:13">
      <c r="A144" s="243"/>
      <c r="B144" s="197" t="str">
        <f>'Practice Inputs'!A32</f>
        <v>Clinical Assistant</v>
      </c>
      <c r="C144" s="197"/>
      <c r="D144" s="197"/>
      <c r="E144" s="98">
        <f>'Practice Inputs'!H32</f>
        <v>0</v>
      </c>
      <c r="F144" s="98"/>
      <c r="G144" s="98">
        <f>'Change Inputs'!O613</f>
        <v>0</v>
      </c>
      <c r="H144" s="98">
        <f>'Change Inputs'!P613</f>
        <v>0</v>
      </c>
      <c r="I144" s="98">
        <f>'Change Inputs'!Q613</f>
        <v>0</v>
      </c>
      <c r="J144" s="98">
        <f>'Change Inputs'!R613</f>
        <v>0</v>
      </c>
      <c r="K144" s="207">
        <f>'Change Inputs'!S613</f>
        <v>0</v>
      </c>
      <c r="L144" s="197"/>
      <c r="M144" s="94" t="str">
        <f t="shared" si="29"/>
        <v/>
      </c>
    </row>
    <row r="145" spans="1:13">
      <c r="A145" s="197"/>
      <c r="B145" s="197" t="str">
        <f>'Practice Inputs'!A33</f>
        <v>Reception / Administrator</v>
      </c>
      <c r="C145" s="197"/>
      <c r="D145" s="197"/>
      <c r="E145" s="98">
        <f>'Practice Inputs'!H33</f>
        <v>2.5446791064020573</v>
      </c>
      <c r="F145" s="197"/>
      <c r="G145" s="98">
        <f>'Change Inputs'!O614</f>
        <v>0</v>
      </c>
      <c r="H145" s="98">
        <f>'Change Inputs'!P614</f>
        <v>0</v>
      </c>
      <c r="I145" s="98">
        <f>'Change Inputs'!Q614</f>
        <v>0</v>
      </c>
      <c r="J145" s="98">
        <f>'Change Inputs'!R614</f>
        <v>0</v>
      </c>
      <c r="K145" s="207">
        <f>'Change Inputs'!S614</f>
        <v>0</v>
      </c>
      <c r="L145" s="197"/>
      <c r="M145" s="94">
        <f t="shared" si="29"/>
        <v>0</v>
      </c>
    </row>
    <row r="146" spans="1:13">
      <c r="A146" s="197"/>
      <c r="B146" s="197" t="str">
        <f>'Practice Inputs'!A34</f>
        <v>Practice Manager</v>
      </c>
      <c r="C146" s="197"/>
      <c r="D146" s="197"/>
      <c r="E146" s="98">
        <f>'Practice Inputs'!H34</f>
        <v>0.5</v>
      </c>
      <c r="F146" s="197"/>
      <c r="G146" s="98">
        <f>'Change Inputs'!O615</f>
        <v>0</v>
      </c>
      <c r="H146" s="98">
        <f>'Change Inputs'!P615</f>
        <v>0</v>
      </c>
      <c r="I146" s="98">
        <f>'Change Inputs'!Q615</f>
        <v>0</v>
      </c>
      <c r="J146" s="98">
        <f>'Change Inputs'!R615</f>
        <v>0</v>
      </c>
      <c r="K146" s="207">
        <f>'Change Inputs'!S615</f>
        <v>0</v>
      </c>
      <c r="L146" s="197"/>
      <c r="M146" s="94">
        <f t="shared" si="29"/>
        <v>0</v>
      </c>
    </row>
    <row r="147" spans="1:13">
      <c r="A147" s="197"/>
      <c r="B147" s="197" t="str">
        <f>'Practice Inputs'!A35</f>
        <v>Paramedic, extended care</v>
      </c>
      <c r="C147" s="197"/>
      <c r="D147" s="197"/>
      <c r="E147" s="98">
        <f>'Practice Inputs'!H35</f>
        <v>0</v>
      </c>
      <c r="F147" s="197"/>
      <c r="G147" s="98">
        <f>'Change Inputs'!O616</f>
        <v>0</v>
      </c>
      <c r="H147" s="98">
        <f>'Change Inputs'!P616</f>
        <v>0</v>
      </c>
      <c r="I147" s="98">
        <f>'Change Inputs'!Q616</f>
        <v>0</v>
      </c>
      <c r="J147" s="98">
        <f>'Change Inputs'!R616</f>
        <v>0</v>
      </c>
      <c r="K147" s="207">
        <f>'Change Inputs'!S616</f>
        <v>0</v>
      </c>
      <c r="L147" s="197"/>
      <c r="M147" s="94" t="str">
        <f t="shared" si="29"/>
        <v/>
      </c>
    </row>
    <row r="148" spans="1:13">
      <c r="A148" s="197"/>
      <c r="B148" s="197" t="str">
        <f>'Practice Inputs'!A36</f>
        <v>Pharmacist</v>
      </c>
      <c r="C148" s="197"/>
      <c r="D148" s="197"/>
      <c r="E148" s="98">
        <f>'Practice Inputs'!H36</f>
        <v>0</v>
      </c>
      <c r="F148" s="197"/>
      <c r="G148" s="98">
        <f>'Change Inputs'!O617</f>
        <v>0</v>
      </c>
      <c r="H148" s="98">
        <f>'Change Inputs'!P617</f>
        <v>0</v>
      </c>
      <c r="I148" s="98">
        <f>'Change Inputs'!Q617</f>
        <v>0</v>
      </c>
      <c r="J148" s="98">
        <f>'Change Inputs'!R617</f>
        <v>0</v>
      </c>
      <c r="K148" s="207">
        <f>'Change Inputs'!S617</f>
        <v>0</v>
      </c>
      <c r="L148" s="197"/>
      <c r="M148" s="94" t="str">
        <f t="shared" si="29"/>
        <v/>
      </c>
    </row>
    <row r="149" spans="1:13">
      <c r="A149" s="197"/>
      <c r="B149" s="197" t="str">
        <f>'Practice Inputs'!A37</f>
        <v>Podiatrist</v>
      </c>
      <c r="C149" s="197"/>
      <c r="D149" s="197"/>
      <c r="E149" s="98">
        <f>'Practice Inputs'!H37</f>
        <v>0</v>
      </c>
      <c r="F149" s="197"/>
      <c r="G149" s="98">
        <f>'Change Inputs'!O618</f>
        <v>0</v>
      </c>
      <c r="H149" s="98">
        <f>'Change Inputs'!P618</f>
        <v>0</v>
      </c>
      <c r="I149" s="98">
        <f>'Change Inputs'!Q618</f>
        <v>0</v>
      </c>
      <c r="J149" s="98">
        <f>'Change Inputs'!R618</f>
        <v>0</v>
      </c>
      <c r="K149" s="207">
        <f>'Change Inputs'!S618</f>
        <v>0</v>
      </c>
      <c r="L149" s="197"/>
      <c r="M149" s="94" t="str">
        <f t="shared" si="29"/>
        <v/>
      </c>
    </row>
    <row r="150" spans="1:13">
      <c r="A150" s="197"/>
      <c r="B150" s="197" t="str">
        <f>'Practice Inputs'!A38</f>
        <v>Physiotherapist</v>
      </c>
      <c r="C150" s="197"/>
      <c r="D150" s="197"/>
      <c r="E150" s="98">
        <f>'Practice Inputs'!H38</f>
        <v>0</v>
      </c>
      <c r="F150" s="197"/>
      <c r="G150" s="98">
        <f>'Change Inputs'!O619</f>
        <v>0</v>
      </c>
      <c r="H150" s="98">
        <f>'Change Inputs'!P619</f>
        <v>0</v>
      </c>
      <c r="I150" s="98">
        <f>'Change Inputs'!Q619</f>
        <v>0</v>
      </c>
      <c r="J150" s="98">
        <f>'Change Inputs'!R619</f>
        <v>0</v>
      </c>
      <c r="K150" s="207">
        <f>'Change Inputs'!S619</f>
        <v>0</v>
      </c>
      <c r="L150" s="197"/>
      <c r="M150" s="94" t="str">
        <f t="shared" si="29"/>
        <v/>
      </c>
    </row>
    <row r="151" spans="1:13">
      <c r="A151" s="197"/>
      <c r="B151" s="197" t="str">
        <f>'Practice Inputs'!A39</f>
        <v>Social Worker</v>
      </c>
      <c r="C151" s="197"/>
      <c r="D151" s="197"/>
      <c r="E151" s="98">
        <f>'Practice Inputs'!H39</f>
        <v>0</v>
      </c>
      <c r="F151" s="197"/>
      <c r="G151" s="98">
        <f>'Change Inputs'!O620</f>
        <v>0</v>
      </c>
      <c r="H151" s="98">
        <f>'Change Inputs'!P620</f>
        <v>0</v>
      </c>
      <c r="I151" s="98">
        <f>'Change Inputs'!Q620</f>
        <v>0</v>
      </c>
      <c r="J151" s="98">
        <f>'Change Inputs'!R620</f>
        <v>0</v>
      </c>
      <c r="K151" s="207">
        <f>'Change Inputs'!S620</f>
        <v>0</v>
      </c>
      <c r="L151" s="197"/>
      <c r="M151" s="94" t="str">
        <f t="shared" si="29"/>
        <v/>
      </c>
    </row>
    <row r="152" spans="1:13">
      <c r="A152" s="197"/>
      <c r="B152" s="197" t="str">
        <f>'Practice Inputs'!A40</f>
        <v>Health Improvement Practitioner (HIP)</v>
      </c>
      <c r="C152" s="197"/>
      <c r="D152" s="197"/>
      <c r="E152" s="98">
        <f>'Practice Inputs'!H40</f>
        <v>0</v>
      </c>
      <c r="F152" s="197"/>
      <c r="G152" s="98">
        <f>'Change Inputs'!O621</f>
        <v>0</v>
      </c>
      <c r="H152" s="98">
        <f>'Change Inputs'!P621</f>
        <v>0</v>
      </c>
      <c r="I152" s="98">
        <f>'Change Inputs'!Q621</f>
        <v>0</v>
      </c>
      <c r="J152" s="98">
        <f>'Change Inputs'!R621</f>
        <v>0</v>
      </c>
      <c r="K152" s="207">
        <f>'Change Inputs'!S621</f>
        <v>0</v>
      </c>
      <c r="L152" s="197"/>
      <c r="M152" s="94" t="str">
        <f t="shared" si="29"/>
        <v/>
      </c>
    </row>
    <row r="153" spans="1:13">
      <c r="A153" s="197"/>
      <c r="B153" s="197" t="str">
        <f>'Practice Inputs'!A41</f>
        <v>Health Coach</v>
      </c>
      <c r="C153" s="197"/>
      <c r="D153" s="197"/>
      <c r="E153" s="98">
        <f>'Practice Inputs'!H41</f>
        <v>0</v>
      </c>
      <c r="F153" s="197"/>
      <c r="G153" s="98">
        <f>'Change Inputs'!O622</f>
        <v>0</v>
      </c>
      <c r="H153" s="98">
        <f>'Change Inputs'!P622</f>
        <v>0</v>
      </c>
      <c r="I153" s="98">
        <f>'Change Inputs'!Q622</f>
        <v>0</v>
      </c>
      <c r="J153" s="98">
        <f>'Change Inputs'!R622</f>
        <v>0</v>
      </c>
      <c r="K153" s="207">
        <f>'Change Inputs'!S622</f>
        <v>0</v>
      </c>
      <c r="L153" s="197"/>
      <c r="M153" s="94" t="str">
        <f t="shared" si="29"/>
        <v/>
      </c>
    </row>
    <row r="154" spans="1:13">
      <c r="A154" s="197"/>
      <c r="B154" s="197" t="str">
        <f>'Practice Inputs'!A42</f>
        <v>Kaiāwhina / Community health worker</v>
      </c>
      <c r="C154" s="197"/>
      <c r="D154" s="197"/>
      <c r="E154" s="98">
        <f>'Practice Inputs'!H42</f>
        <v>0</v>
      </c>
      <c r="F154" s="197"/>
      <c r="G154" s="98">
        <f>'Change Inputs'!O623</f>
        <v>0</v>
      </c>
      <c r="H154" s="98">
        <f>'Change Inputs'!P623</f>
        <v>0</v>
      </c>
      <c r="I154" s="98">
        <f>'Change Inputs'!Q623</f>
        <v>0</v>
      </c>
      <c r="J154" s="98">
        <f>'Change Inputs'!R623</f>
        <v>0</v>
      </c>
      <c r="K154" s="207">
        <f>'Change Inputs'!S623</f>
        <v>0</v>
      </c>
      <c r="L154" s="197"/>
      <c r="M154" s="94" t="str">
        <f t="shared" si="29"/>
        <v/>
      </c>
    </row>
    <row r="155" spans="1:13">
      <c r="A155" s="197"/>
      <c r="B155" s="197" t="str">
        <f>'Practice Inputs'!A43</f>
        <v>Care coordinator</v>
      </c>
      <c r="C155" s="197"/>
      <c r="D155" s="197"/>
      <c r="E155" s="98">
        <f>'Practice Inputs'!H43</f>
        <v>0</v>
      </c>
      <c r="F155" s="197"/>
      <c r="G155" s="98">
        <f>'Change Inputs'!O624</f>
        <v>0</v>
      </c>
      <c r="H155" s="98">
        <f>'Change Inputs'!P624</f>
        <v>0</v>
      </c>
      <c r="I155" s="98">
        <f>'Change Inputs'!Q624</f>
        <v>0</v>
      </c>
      <c r="J155" s="98">
        <f>'Change Inputs'!R624</f>
        <v>0</v>
      </c>
      <c r="K155" s="207">
        <f>'Change Inputs'!S624</f>
        <v>0</v>
      </c>
      <c r="L155" s="197"/>
      <c r="M155" s="94" t="str">
        <f t="shared" si="29"/>
        <v/>
      </c>
    </row>
    <row r="156" spans="1:13">
      <c r="A156" s="197"/>
      <c r="B156" s="197" t="str">
        <f>'Practice Inputs'!A44</f>
        <v>new role</v>
      </c>
      <c r="C156" s="197"/>
      <c r="D156" s="197"/>
      <c r="E156" s="98">
        <f>'Practice Inputs'!H44</f>
        <v>0</v>
      </c>
      <c r="F156" s="197"/>
      <c r="G156" s="98">
        <f>'Change Inputs'!O625</f>
        <v>0</v>
      </c>
      <c r="H156" s="98">
        <f>'Change Inputs'!P625</f>
        <v>0</v>
      </c>
      <c r="I156" s="98">
        <f>'Change Inputs'!Q625</f>
        <v>0</v>
      </c>
      <c r="J156" s="98">
        <f>'Change Inputs'!R625</f>
        <v>0</v>
      </c>
      <c r="K156" s="207">
        <f>'Change Inputs'!S625</f>
        <v>0</v>
      </c>
      <c r="L156" s="197"/>
      <c r="M156" s="94" t="str">
        <f t="shared" si="29"/>
        <v/>
      </c>
    </row>
    <row r="157" spans="1:13">
      <c r="A157" s="197"/>
      <c r="B157" s="197">
        <f>'Practice Inputs'!A45</f>
        <v>0</v>
      </c>
      <c r="C157" s="197"/>
      <c r="D157" s="197"/>
      <c r="E157" s="98">
        <f>'Practice Inputs'!H45</f>
        <v>0</v>
      </c>
      <c r="F157" s="197"/>
      <c r="G157" s="98" t="e">
        <f>'Change Inputs'!O626</f>
        <v>#VALUE!</v>
      </c>
      <c r="H157" s="98" t="e">
        <f>'Change Inputs'!P626</f>
        <v>#VALUE!</v>
      </c>
      <c r="I157" s="98" t="e">
        <f>'Change Inputs'!Q626</f>
        <v>#VALUE!</v>
      </c>
      <c r="J157" s="98" t="e">
        <f>'Change Inputs'!R626</f>
        <v>#VALUE!</v>
      </c>
      <c r="K157" s="207" t="e">
        <f>'Change Inputs'!S626</f>
        <v>#VALUE!</v>
      </c>
      <c r="L157" s="197"/>
      <c r="M157" s="94" t="str">
        <f t="shared" si="29"/>
        <v/>
      </c>
    </row>
    <row r="158" spans="1:13">
      <c r="A158" s="197"/>
      <c r="B158" s="197">
        <f>'Practice Inputs'!A46</f>
        <v>0</v>
      </c>
      <c r="C158" s="197"/>
      <c r="D158" s="197"/>
      <c r="E158" s="98">
        <f>'Practice Inputs'!H46</f>
        <v>0</v>
      </c>
      <c r="F158" s="197"/>
      <c r="G158" s="98" t="e">
        <f>'Change Inputs'!O627</f>
        <v>#VALUE!</v>
      </c>
      <c r="H158" s="98" t="e">
        <f>'Change Inputs'!P627</f>
        <v>#VALUE!</v>
      </c>
      <c r="I158" s="98" t="e">
        <f>'Change Inputs'!Q627</f>
        <v>#VALUE!</v>
      </c>
      <c r="J158" s="98" t="e">
        <f>'Change Inputs'!R627</f>
        <v>#VALUE!</v>
      </c>
      <c r="K158" s="207" t="e">
        <f>'Change Inputs'!S627</f>
        <v>#VALUE!</v>
      </c>
      <c r="L158" s="197"/>
      <c r="M158" s="94" t="str">
        <f t="shared" si="29"/>
        <v/>
      </c>
    </row>
    <row r="159" spans="1:13">
      <c r="A159" s="197"/>
      <c r="B159" s="197">
        <f>'Practice Inputs'!A47</f>
        <v>0</v>
      </c>
      <c r="C159" s="197"/>
      <c r="D159" s="197"/>
      <c r="E159" s="98">
        <f>'Practice Inputs'!H47</f>
        <v>0</v>
      </c>
      <c r="F159" s="197"/>
      <c r="G159" s="98" t="e">
        <f>'Change Inputs'!O628</f>
        <v>#VALUE!</v>
      </c>
      <c r="H159" s="98" t="e">
        <f>'Change Inputs'!P628</f>
        <v>#VALUE!</v>
      </c>
      <c r="I159" s="98" t="e">
        <f>'Change Inputs'!Q628</f>
        <v>#VALUE!</v>
      </c>
      <c r="J159" s="98" t="e">
        <f>'Change Inputs'!R628</f>
        <v>#VALUE!</v>
      </c>
      <c r="K159" s="207" t="e">
        <f>'Change Inputs'!S628</f>
        <v>#VALUE!</v>
      </c>
      <c r="L159" s="197"/>
      <c r="M159" s="94" t="str">
        <f t="shared" si="29"/>
        <v/>
      </c>
    </row>
    <row r="160" spans="1:13">
      <c r="A160" s="197"/>
      <c r="B160" s="244" t="str">
        <f>'Practice Inputs'!A48</f>
        <v>Total FTE</v>
      </c>
      <c r="C160" s="244"/>
      <c r="D160" s="244"/>
      <c r="E160" s="207">
        <f>SUM(E140:E159)</f>
        <v>9.9009603024181132</v>
      </c>
      <c r="F160" s="207">
        <f t="shared" ref="F160:K160" si="30">SUM(F140:F159)</f>
        <v>0</v>
      </c>
      <c r="G160" s="207" t="e">
        <f t="shared" si="30"/>
        <v>#VALUE!</v>
      </c>
      <c r="H160" s="207" t="e">
        <f t="shared" si="30"/>
        <v>#VALUE!</v>
      </c>
      <c r="I160" s="207" t="e">
        <f t="shared" si="30"/>
        <v>#VALUE!</v>
      </c>
      <c r="J160" s="207" t="e">
        <f t="shared" si="30"/>
        <v>#VALUE!</v>
      </c>
      <c r="K160" s="207" t="e">
        <f t="shared" si="30"/>
        <v>#VALUE!</v>
      </c>
      <c r="L160" s="244"/>
      <c r="M160" s="245" t="str">
        <f t="shared" si="29"/>
        <v/>
      </c>
    </row>
  </sheetData>
  <sheetProtection sheet="1" objects="1" scenarios="1"/>
  <protectedRanges>
    <protectedRange sqref="G9:K9 G14:K14 G16:K16 G18:K18 C80:D81 C83:D86 C88:D91" name="UserInputs"/>
  </protectedRanges>
  <phoneticPr fontId="7"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09361-0738-47A8-82D6-9DB3138AFF40}">
  <sheetPr>
    <tabColor rgb="FF9364AC"/>
  </sheetPr>
  <dimension ref="A1:W166"/>
  <sheetViews>
    <sheetView showGridLines="0" zoomScale="85" zoomScaleNormal="85" workbookViewId="0">
      <selection activeCell="A73" sqref="A73"/>
    </sheetView>
  </sheetViews>
  <sheetFormatPr defaultRowHeight="14.6"/>
  <cols>
    <col min="1" max="1" width="43.4609375" customWidth="1"/>
    <col min="2" max="7" width="12.53515625" customWidth="1"/>
    <col min="8" max="9" width="13.4609375" customWidth="1"/>
    <col min="10" max="15" width="13.53515625" customWidth="1"/>
    <col min="16" max="16" width="11.84375" bestFit="1" customWidth="1"/>
  </cols>
  <sheetData>
    <row r="1" spans="1:23" ht="26.15">
      <c r="A1" s="14" t="s">
        <v>260</v>
      </c>
      <c r="B1" s="12"/>
      <c r="C1" s="12"/>
      <c r="D1" s="12"/>
      <c r="E1" s="12"/>
      <c r="F1" s="12"/>
      <c r="G1" s="12"/>
      <c r="H1" s="12"/>
      <c r="I1" s="12"/>
    </row>
    <row r="2" spans="1:23" ht="15.9">
      <c r="A2" s="17"/>
      <c r="B2" s="13"/>
      <c r="C2" s="13"/>
      <c r="D2" s="13"/>
      <c r="E2" s="13"/>
      <c r="F2" s="13"/>
      <c r="G2" s="13"/>
      <c r="H2" s="13"/>
      <c r="I2" s="13"/>
    </row>
    <row r="3" spans="1:23">
      <c r="A3" t="s">
        <v>261</v>
      </c>
    </row>
    <row r="4" spans="1:23">
      <c r="A4" t="s">
        <v>262</v>
      </c>
    </row>
    <row r="6" spans="1:23" ht="15.9">
      <c r="B6" s="18"/>
      <c r="C6" s="105"/>
      <c r="D6" s="18"/>
    </row>
    <row r="7" spans="1:23" ht="18.899999999999999" thickBot="1">
      <c r="A7" s="128" t="s">
        <v>193</v>
      </c>
      <c r="B7" s="119"/>
      <c r="C7" s="119"/>
      <c r="D7" s="119"/>
      <c r="E7" s="119"/>
      <c r="F7" s="119"/>
      <c r="G7" s="119"/>
      <c r="H7" s="119"/>
      <c r="I7" s="119"/>
      <c r="J7" s="61"/>
    </row>
    <row r="8" spans="1:23">
      <c r="A8" t="s">
        <v>263</v>
      </c>
    </row>
    <row r="9" spans="1:23" ht="15.9">
      <c r="A9" s="45"/>
      <c r="B9" s="18" t="s">
        <v>264</v>
      </c>
    </row>
    <row r="10" spans="1:23" ht="15.9">
      <c r="A10" s="45"/>
      <c r="B10" t="s">
        <v>265</v>
      </c>
      <c r="I10" s="105" t="s">
        <v>73</v>
      </c>
      <c r="P10" s="18" t="s">
        <v>266</v>
      </c>
    </row>
    <row r="11" spans="1:23" s="51" customFormat="1">
      <c r="A11" s="298" t="s">
        <v>267</v>
      </c>
      <c r="B11" s="302">
        <v>1</v>
      </c>
      <c r="C11" s="51">
        <v>2</v>
      </c>
      <c r="D11" s="51">
        <v>3</v>
      </c>
      <c r="E11" s="51">
        <v>4</v>
      </c>
      <c r="F11" s="51">
        <v>5</v>
      </c>
      <c r="G11" s="51" t="s">
        <v>268</v>
      </c>
      <c r="H11" s="269" t="s">
        <v>92</v>
      </c>
      <c r="I11" s="215">
        <v>1</v>
      </c>
      <c r="J11" s="215">
        <v>2</v>
      </c>
      <c r="K11" s="215">
        <v>3</v>
      </c>
      <c r="L11" s="215">
        <v>4</v>
      </c>
      <c r="M11" s="215">
        <v>5</v>
      </c>
      <c r="N11" s="215" t="s">
        <v>268</v>
      </c>
      <c r="O11" s="215" t="s">
        <v>92</v>
      </c>
      <c r="P11" s="302">
        <v>1</v>
      </c>
      <c r="Q11" s="51">
        <v>2</v>
      </c>
      <c r="R11" s="51">
        <v>3</v>
      </c>
      <c r="S11" s="51">
        <v>4</v>
      </c>
      <c r="T11" s="51">
        <v>5</v>
      </c>
      <c r="U11" s="51" t="s">
        <v>268</v>
      </c>
      <c r="V11" s="302" t="s">
        <v>92</v>
      </c>
    </row>
    <row r="12" spans="1:23">
      <c r="A12" s="297" t="s">
        <v>269</v>
      </c>
      <c r="B12" s="81"/>
      <c r="C12" s="81"/>
      <c r="D12" s="81"/>
      <c r="E12" s="81"/>
      <c r="F12" s="81"/>
      <c r="G12" s="81"/>
      <c r="H12" s="170">
        <f>SUM(B12:G12)</f>
        <v>0</v>
      </c>
      <c r="I12" s="189">
        <f>Defaults!B159*input_ESU</f>
        <v>50.492391512265264</v>
      </c>
      <c r="J12" s="189">
        <f>Defaults!C159*input_ESU</f>
        <v>51.398842021966281</v>
      </c>
      <c r="K12" s="189">
        <f>Defaults!D159*input_ESU</f>
        <v>55.237515018395847</v>
      </c>
      <c r="L12" s="189">
        <f>Defaults!E159*input_ESU</f>
        <v>60.606260484894058</v>
      </c>
      <c r="M12" s="189">
        <f>Defaults!F159*input_ESU</f>
        <v>72.593993521127487</v>
      </c>
      <c r="N12" s="189">
        <f>Defaults!G159*input_ESU</f>
        <v>2.5834339223562677</v>
      </c>
      <c r="O12" s="189">
        <f>SUM(I12:N12)</f>
        <v>292.91243648100522</v>
      </c>
      <c r="P12" s="153">
        <f>IF(B12="",I12,B12)</f>
        <v>50.492391512265264</v>
      </c>
      <c r="Q12" s="153">
        <f t="shared" ref="Q12:U12" si="0">IF(C12="",J12,C12)</f>
        <v>51.398842021966281</v>
      </c>
      <c r="R12" s="153">
        <f t="shared" si="0"/>
        <v>55.237515018395847</v>
      </c>
      <c r="S12" s="153">
        <f t="shared" si="0"/>
        <v>60.606260484894058</v>
      </c>
      <c r="T12" s="153">
        <f t="shared" si="0"/>
        <v>72.593993521127487</v>
      </c>
      <c r="U12" s="153">
        <f t="shared" si="0"/>
        <v>2.5834339223562677</v>
      </c>
      <c r="V12" s="153">
        <f>SUM(P12:U12)</f>
        <v>292.91243648100522</v>
      </c>
      <c r="W12" s="270">
        <f>V12/$V$18</f>
        <v>5.8582487296201045E-2</v>
      </c>
    </row>
    <row r="13" spans="1:23">
      <c r="A13" s="297" t="s">
        <v>270</v>
      </c>
      <c r="B13" s="81"/>
      <c r="C13" s="81"/>
      <c r="D13" s="81"/>
      <c r="E13" s="81"/>
      <c r="F13" s="81"/>
      <c r="G13" s="81"/>
      <c r="H13" s="170">
        <f t="shared" ref="H13:H16" si="1">SUM(B13:G13)</f>
        <v>0</v>
      </c>
      <c r="I13" s="189">
        <f>Defaults!B160*input_ESU</f>
        <v>134.73732223526099</v>
      </c>
      <c r="J13" s="189">
        <f>Defaults!C160*input_ESU</f>
        <v>122.34883213795797</v>
      </c>
      <c r="K13" s="189">
        <f>Defaults!D160*input_ESU</f>
        <v>118.00446569289696</v>
      </c>
      <c r="L13" s="189">
        <f>Defaults!E160*input_ESU</f>
        <v>119.86833581482905</v>
      </c>
      <c r="M13" s="189">
        <f>Defaults!F160*input_ESU</f>
        <v>144.94613365377907</v>
      </c>
      <c r="N13" s="189">
        <f>Defaults!G160*input_ESU</f>
        <v>7.1366737483737355</v>
      </c>
      <c r="O13" s="189">
        <f t="shared" ref="O13:O17" si="2">SUM(I13:N13)</f>
        <v>647.04176328309768</v>
      </c>
      <c r="P13" s="153">
        <f t="shared" ref="P13:P17" si="3">IF(B13="",I13,B13)</f>
        <v>134.73732223526099</v>
      </c>
      <c r="Q13" s="153">
        <f t="shared" ref="Q13:Q17" si="4">IF(C13="",J13,C13)</f>
        <v>122.34883213795797</v>
      </c>
      <c r="R13" s="153">
        <f t="shared" ref="R13:R17" si="5">IF(D13="",K13,D13)</f>
        <v>118.00446569289696</v>
      </c>
      <c r="S13" s="153">
        <f t="shared" ref="S13:S17" si="6">IF(E13="",L13,E13)</f>
        <v>119.86833581482905</v>
      </c>
      <c r="T13" s="153">
        <f t="shared" ref="T13:T17" si="7">IF(F13="",M13,F13)</f>
        <v>144.94613365377907</v>
      </c>
      <c r="U13" s="153">
        <f t="shared" ref="U13:U17" si="8">IF(G13="",N13,G13)</f>
        <v>7.1366737483737355</v>
      </c>
      <c r="V13" s="153">
        <f t="shared" ref="V13:V17" si="9">SUM(P13:U13)</f>
        <v>647.04176328309768</v>
      </c>
      <c r="W13" s="270">
        <f t="shared" ref="W13:W17" si="10">V13/$V$18</f>
        <v>0.12940835265661954</v>
      </c>
    </row>
    <row r="14" spans="1:23">
      <c r="A14" s="297" t="s">
        <v>271</v>
      </c>
      <c r="B14" s="81"/>
      <c r="C14" s="81"/>
      <c r="D14" s="81"/>
      <c r="E14" s="81"/>
      <c r="F14" s="81"/>
      <c r="G14" s="81"/>
      <c r="H14" s="170">
        <f t="shared" si="1"/>
        <v>0</v>
      </c>
      <c r="I14" s="189">
        <f>Defaults!B161*input_ESU</f>
        <v>116.4953805003407</v>
      </c>
      <c r="J14" s="189">
        <f>Defaults!C161*input_ESU</f>
        <v>108.13045132040956</v>
      </c>
      <c r="K14" s="189">
        <f>Defaults!D161*input_ESU</f>
        <v>109.07587820263358</v>
      </c>
      <c r="L14" s="189">
        <f>Defaults!E161*input_ESU</f>
        <v>121.99504660274941</v>
      </c>
      <c r="M14" s="189">
        <f>Defaults!F161*input_ESU</f>
        <v>135.92560190012816</v>
      </c>
      <c r="N14" s="189">
        <f>Defaults!G161*input_ESU</f>
        <v>6.5830093797140172</v>
      </c>
      <c r="O14" s="189">
        <f t="shared" si="2"/>
        <v>598.20536790597544</v>
      </c>
      <c r="P14" s="153">
        <f t="shared" si="3"/>
        <v>116.4953805003407</v>
      </c>
      <c r="Q14" s="153">
        <f t="shared" si="4"/>
        <v>108.13045132040956</v>
      </c>
      <c r="R14" s="153">
        <f t="shared" si="5"/>
        <v>109.07587820263358</v>
      </c>
      <c r="S14" s="153">
        <f t="shared" si="6"/>
        <v>121.99504660274941</v>
      </c>
      <c r="T14" s="153">
        <f t="shared" si="7"/>
        <v>135.92560190012816</v>
      </c>
      <c r="U14" s="153">
        <f t="shared" si="8"/>
        <v>6.5830093797140172</v>
      </c>
      <c r="V14" s="153">
        <f t="shared" si="9"/>
        <v>598.20536790597544</v>
      </c>
      <c r="W14" s="270">
        <f t="shared" si="10"/>
        <v>0.11964107358119509</v>
      </c>
    </row>
    <row r="15" spans="1:23">
      <c r="A15" s="297" t="s">
        <v>272</v>
      </c>
      <c r="B15" s="81"/>
      <c r="C15" s="81"/>
      <c r="D15" s="81"/>
      <c r="E15" s="81"/>
      <c r="F15" s="81"/>
      <c r="G15" s="81"/>
      <c r="H15" s="170">
        <f t="shared" si="1"/>
        <v>0</v>
      </c>
      <c r="I15" s="189">
        <f>Defaults!B162*input_ESU</f>
        <v>243.93412713213249</v>
      </c>
      <c r="J15" s="189">
        <f>Defaults!C162*input_ESU</f>
        <v>259.81549984399459</v>
      </c>
      <c r="K15" s="189">
        <f>Defaults!D162*input_ESU</f>
        <v>277.37885293934818</v>
      </c>
      <c r="L15" s="189">
        <f>Defaults!E162*input_ESU</f>
        <v>285.89369124436769</v>
      </c>
      <c r="M15" s="189">
        <f>Defaults!F162*input_ESU</f>
        <v>282.46177167401123</v>
      </c>
      <c r="N15" s="189">
        <f>Defaults!G162*input_ESU</f>
        <v>13.730676463927567</v>
      </c>
      <c r="O15" s="189">
        <f t="shared" si="2"/>
        <v>1363.2146192977816</v>
      </c>
      <c r="P15" s="153">
        <f t="shared" si="3"/>
        <v>243.93412713213249</v>
      </c>
      <c r="Q15" s="153">
        <f t="shared" si="4"/>
        <v>259.81549984399459</v>
      </c>
      <c r="R15" s="153">
        <f t="shared" si="5"/>
        <v>277.37885293934818</v>
      </c>
      <c r="S15" s="153">
        <f t="shared" si="6"/>
        <v>285.89369124436769</v>
      </c>
      <c r="T15" s="153">
        <f t="shared" si="7"/>
        <v>282.46177167401123</v>
      </c>
      <c r="U15" s="153">
        <f t="shared" si="8"/>
        <v>13.730676463927567</v>
      </c>
      <c r="V15" s="153">
        <f t="shared" si="9"/>
        <v>1363.2146192977816</v>
      </c>
      <c r="W15" s="270">
        <f t="shared" si="10"/>
        <v>0.2726429238595563</v>
      </c>
    </row>
    <row r="16" spans="1:23">
      <c r="A16" s="297" t="s">
        <v>273</v>
      </c>
      <c r="B16" s="81"/>
      <c r="C16" s="81"/>
      <c r="D16" s="81"/>
      <c r="E16" s="81"/>
      <c r="F16" s="81"/>
      <c r="G16" s="81"/>
      <c r="H16" s="170">
        <f t="shared" si="1"/>
        <v>0</v>
      </c>
      <c r="I16" s="189">
        <f>Defaults!B163*input_ESU</f>
        <v>287.70059589876615</v>
      </c>
      <c r="J16" s="189">
        <f>Defaults!C163*input_ESU</f>
        <v>252.07219383609657</v>
      </c>
      <c r="K16" s="189">
        <f>Defaults!D163*input_ESU</f>
        <v>233.95517637208326</v>
      </c>
      <c r="L16" s="189">
        <f>Defaults!E163*input_ESU</f>
        <v>222.54909074119269</v>
      </c>
      <c r="M16" s="189">
        <f>Defaults!F163*input_ESU</f>
        <v>211.98649378746603</v>
      </c>
      <c r="N16" s="189">
        <f>Defaults!G163*input_ESU</f>
        <v>20.547544078779442</v>
      </c>
      <c r="O16" s="189">
        <f t="shared" si="2"/>
        <v>1228.8110947143844</v>
      </c>
      <c r="P16" s="153">
        <f t="shared" si="3"/>
        <v>287.70059589876615</v>
      </c>
      <c r="Q16" s="153">
        <f t="shared" si="4"/>
        <v>252.07219383609657</v>
      </c>
      <c r="R16" s="153">
        <f t="shared" si="5"/>
        <v>233.95517637208326</v>
      </c>
      <c r="S16" s="153">
        <f t="shared" si="6"/>
        <v>222.54909074119269</v>
      </c>
      <c r="T16" s="153">
        <f t="shared" si="7"/>
        <v>211.98649378746603</v>
      </c>
      <c r="U16" s="153">
        <f t="shared" si="8"/>
        <v>20.547544078779442</v>
      </c>
      <c r="V16" s="153">
        <f t="shared" si="9"/>
        <v>1228.8110947143844</v>
      </c>
      <c r="W16" s="270">
        <f t="shared" si="10"/>
        <v>0.24576221894287686</v>
      </c>
    </row>
    <row r="17" spans="1:23">
      <c r="A17" s="297" t="s">
        <v>274</v>
      </c>
      <c r="B17" s="81"/>
      <c r="C17" s="81"/>
      <c r="D17" s="81"/>
      <c r="E17" s="81"/>
      <c r="F17" s="81"/>
      <c r="G17" s="81"/>
      <c r="H17" s="170">
        <f>SUM(B17:G17)</f>
        <v>0</v>
      </c>
      <c r="I17" s="189">
        <f>Defaults!B164*input_ESU</f>
        <v>188.236890796799</v>
      </c>
      <c r="J17" s="189">
        <f>Defaults!C164*input_ESU</f>
        <v>184.29727898947658</v>
      </c>
      <c r="K17" s="189">
        <f>Defaults!D164*input_ESU</f>
        <v>176.11124136548423</v>
      </c>
      <c r="L17" s="189">
        <f>Defaults!E164*input_ESU</f>
        <v>170.28177518788112</v>
      </c>
      <c r="M17" s="189">
        <f>Defaults!F164*input_ESU</f>
        <v>139.35552268215008</v>
      </c>
      <c r="N17" s="189">
        <f>Defaults!G164*input_ESU</f>
        <v>11.532009295964786</v>
      </c>
      <c r="O17" s="189">
        <f t="shared" si="2"/>
        <v>869.81471831775582</v>
      </c>
      <c r="P17" s="153">
        <f t="shared" si="3"/>
        <v>188.236890796799</v>
      </c>
      <c r="Q17" s="153">
        <f t="shared" si="4"/>
        <v>184.29727898947658</v>
      </c>
      <c r="R17" s="153">
        <f t="shared" si="5"/>
        <v>176.11124136548423</v>
      </c>
      <c r="S17" s="153">
        <f t="shared" si="6"/>
        <v>170.28177518788112</v>
      </c>
      <c r="T17" s="153">
        <f t="shared" si="7"/>
        <v>139.35552268215008</v>
      </c>
      <c r="U17" s="153">
        <f t="shared" si="8"/>
        <v>11.532009295964786</v>
      </c>
      <c r="V17" s="153">
        <f t="shared" si="9"/>
        <v>869.81471831775582</v>
      </c>
      <c r="W17" s="270">
        <f t="shared" si="10"/>
        <v>0.17396294366355117</v>
      </c>
    </row>
    <row r="18" spans="1:23" ht="15.9">
      <c r="B18" s="261">
        <f>SUM(B12:B17)</f>
        <v>0</v>
      </c>
      <c r="C18" s="261">
        <f t="shared" ref="C18:G18" si="11">SUM(C12:C17)</f>
        <v>0</v>
      </c>
      <c r="D18" s="261">
        <f t="shared" si="11"/>
        <v>0</v>
      </c>
      <c r="E18" s="261">
        <f t="shared" si="11"/>
        <v>0</v>
      </c>
      <c r="F18" s="261">
        <f t="shared" si="11"/>
        <v>0</v>
      </c>
      <c r="G18" s="261">
        <f t="shared" si="11"/>
        <v>0</v>
      </c>
      <c r="H18" s="261">
        <f>SUM(H12:H17)</f>
        <v>0</v>
      </c>
      <c r="I18" s="260">
        <f>SUM(I12:I17)</f>
        <v>1021.5967080755646</v>
      </c>
      <c r="J18" s="260">
        <f t="shared" ref="J18:N18" si="12">SUM(J12:J17)</f>
        <v>978.06309814990163</v>
      </c>
      <c r="K18" s="260">
        <f t="shared" si="12"/>
        <v>969.76312959084214</v>
      </c>
      <c r="L18" s="260">
        <f t="shared" si="12"/>
        <v>981.19420007591407</v>
      </c>
      <c r="M18" s="260">
        <f t="shared" si="12"/>
        <v>987.26951721866214</v>
      </c>
      <c r="N18" s="260">
        <f t="shared" si="12"/>
        <v>62.113346889115817</v>
      </c>
      <c r="O18" s="259">
        <f>SUM(O12:O17)</f>
        <v>5000</v>
      </c>
      <c r="P18" s="261">
        <f>SUM(P12:P17)</f>
        <v>1021.5967080755646</v>
      </c>
      <c r="Q18" s="261">
        <f t="shared" ref="Q18:U18" si="13">SUM(Q12:Q17)</f>
        <v>978.06309814990163</v>
      </c>
      <c r="R18" s="261">
        <f t="shared" si="13"/>
        <v>969.76312959084214</v>
      </c>
      <c r="S18" s="261">
        <f t="shared" si="13"/>
        <v>981.19420007591407</v>
      </c>
      <c r="T18" s="261">
        <f t="shared" si="13"/>
        <v>987.26951721866214</v>
      </c>
      <c r="U18" s="261">
        <f t="shared" si="13"/>
        <v>62.113346889115817</v>
      </c>
      <c r="V18" s="261">
        <f>SUM(V12:V17)</f>
        <v>5000</v>
      </c>
    </row>
    <row r="19" spans="1:23" ht="15.9">
      <c r="B19" s="18"/>
      <c r="C19" s="105"/>
      <c r="D19" s="18"/>
      <c r="P19" s="3">
        <f>P18/$V$18</f>
        <v>0.20431934161511292</v>
      </c>
      <c r="Q19" s="3">
        <f t="shared" ref="Q19:V19" si="14">Q18/$V$18</f>
        <v>0.19561261962998033</v>
      </c>
      <c r="R19" s="3">
        <f t="shared" si="14"/>
        <v>0.19395262591816842</v>
      </c>
      <c r="S19" s="3">
        <f t="shared" si="14"/>
        <v>0.19623884001518282</v>
      </c>
      <c r="T19" s="3">
        <f t="shared" si="14"/>
        <v>0.19745390344373243</v>
      </c>
      <c r="U19" s="3">
        <f t="shared" si="14"/>
        <v>1.2422669377823164E-2</v>
      </c>
      <c r="V19" s="3">
        <f t="shared" si="14"/>
        <v>1</v>
      </c>
    </row>
    <row r="20" spans="1:23" ht="15.9">
      <c r="B20" s="18"/>
      <c r="C20" s="105"/>
      <c r="D20" s="18"/>
    </row>
    <row r="21" spans="1:23" ht="18.899999999999999" thickBot="1">
      <c r="A21" s="128" t="s">
        <v>275</v>
      </c>
      <c r="B21" s="119"/>
      <c r="C21" s="119"/>
      <c r="D21" s="119"/>
      <c r="E21" s="119"/>
      <c r="F21" s="119"/>
      <c r="G21" s="119"/>
      <c r="H21" s="119"/>
      <c r="I21" s="119"/>
      <c r="J21" s="61"/>
    </row>
    <row r="22" spans="1:23">
      <c r="A22" t="s">
        <v>276</v>
      </c>
    </row>
    <row r="23" spans="1:23">
      <c r="A23" t="s">
        <v>277</v>
      </c>
    </row>
    <row r="25" spans="1:23">
      <c r="A25" s="45"/>
    </row>
    <row r="26" spans="1:23" ht="15.9">
      <c r="A26" s="45"/>
      <c r="B26" s="18" t="s">
        <v>264</v>
      </c>
      <c r="E26" s="105" t="s">
        <v>73</v>
      </c>
      <c r="F26" s="39"/>
      <c r="H26" s="18" t="s">
        <v>266</v>
      </c>
    </row>
    <row r="27" spans="1:23" s="51" customFormat="1" ht="43.75">
      <c r="B27" s="302" t="s">
        <v>278</v>
      </c>
      <c r="C27" s="302" t="s">
        <v>279</v>
      </c>
      <c r="D27" s="51" t="s">
        <v>280</v>
      </c>
      <c r="E27" s="215" t="s">
        <v>278</v>
      </c>
      <c r="F27" s="215" t="s">
        <v>279</v>
      </c>
      <c r="G27" s="215" t="s">
        <v>281</v>
      </c>
      <c r="H27" s="216" t="s">
        <v>278</v>
      </c>
      <c r="I27" s="51" t="s">
        <v>279</v>
      </c>
      <c r="J27" s="51" t="s">
        <v>282</v>
      </c>
      <c r="K27" s="51" t="s">
        <v>281</v>
      </c>
      <c r="L27" s="51" t="s">
        <v>283</v>
      </c>
    </row>
    <row r="28" spans="1:23">
      <c r="A28" t="s">
        <v>136</v>
      </c>
      <c r="B28" s="40"/>
      <c r="C28" s="41"/>
      <c r="D28" s="40"/>
      <c r="E28" s="80">
        <f>IFERROR(used_esu/_xlfn.XLOOKUP(A28,Defaults!$D$7:$D$11,Defaults!$C$7:$C$11),0)</f>
        <v>2.9848890512334396</v>
      </c>
      <c r="F28" s="149">
        <f>_xlfn.XLOOKUP(A108,Defaults!$A$127:$A$142,Defaults!$C$127:$C$142,0)</f>
        <v>280054.30455</v>
      </c>
      <c r="G28" s="47">
        <v>6</v>
      </c>
      <c r="H28" s="63">
        <f>IF('Practice Inputs'!$B$48=0,E28,B28)</f>
        <v>2.9848890512334396</v>
      </c>
      <c r="I28" s="44">
        <f t="shared" ref="I28:I47" si="15">IF(C28="",F28,C28)</f>
        <v>280054.30455</v>
      </c>
      <c r="J28" s="19">
        <f>I28/L28/60</f>
        <v>2.536723773097826</v>
      </c>
      <c r="K28">
        <v>6</v>
      </c>
      <c r="L28">
        <f>(52-K28)*40</f>
        <v>1840</v>
      </c>
    </row>
    <row r="29" spans="1:23">
      <c r="A29" t="s">
        <v>284</v>
      </c>
      <c r="B29" s="40"/>
      <c r="C29" s="41"/>
      <c r="D29" s="40"/>
      <c r="E29" s="80">
        <f>IFERROR(used_esu/_xlfn.XLOOKUP(A29,Defaults!$D$7:$D$11,Defaults!$C$7:$C$11),0)</f>
        <v>0</v>
      </c>
      <c r="F29" s="149">
        <f>_xlfn.XLOOKUP(A109,Defaults!$A$127:$A$142,Defaults!$C$127:$C$142,0)</f>
        <v>126245.92779000002</v>
      </c>
      <c r="G29" s="47">
        <v>6</v>
      </c>
      <c r="H29" s="63">
        <f>IF('Practice Inputs'!$B$48=0,E29,B29)</f>
        <v>0</v>
      </c>
      <c r="I29" s="44">
        <f t="shared" si="15"/>
        <v>126245.92779000002</v>
      </c>
      <c r="J29" s="19">
        <f t="shared" ref="J29:J47" si="16">I29/L29/60</f>
        <v>1.1435319546195652</v>
      </c>
      <c r="K29">
        <f t="shared" ref="K29:K47" si="17">IF(D29="",G29,D29)</f>
        <v>6</v>
      </c>
      <c r="L29">
        <f t="shared" ref="L29:L47" si="18">(52-K29)*40</f>
        <v>1840</v>
      </c>
    </row>
    <row r="30" spans="1:23">
      <c r="A30" t="s">
        <v>90</v>
      </c>
      <c r="B30" s="40"/>
      <c r="C30" s="41"/>
      <c r="D30" s="40"/>
      <c r="E30" s="80">
        <f>IFERROR(used_esu/_xlfn.XLOOKUP(A30,Defaults!$D$7:$D$11,Defaults!$C$7:$C$11),0)</f>
        <v>2.3489345597557456</v>
      </c>
      <c r="F30" s="149">
        <f>_xlfn.XLOOKUP(A110,Defaults!$A$127:$A$142,Defaults!$C$127:$C$142,0)</f>
        <v>90207.730260000011</v>
      </c>
      <c r="G30" s="47">
        <v>6</v>
      </c>
      <c r="H30" s="63">
        <f>IF('Practice Inputs'!$B$48=0,E30,B30)</f>
        <v>2.3489345597557456</v>
      </c>
      <c r="I30" s="44">
        <f t="shared" si="15"/>
        <v>90207.730260000011</v>
      </c>
      <c r="J30" s="19">
        <f t="shared" si="16"/>
        <v>0.81709900597826091</v>
      </c>
      <c r="K30">
        <f t="shared" si="17"/>
        <v>6</v>
      </c>
      <c r="L30">
        <f t="shared" si="18"/>
        <v>1840</v>
      </c>
    </row>
    <row r="31" spans="1:23">
      <c r="A31" t="s">
        <v>168</v>
      </c>
      <c r="B31" s="40"/>
      <c r="C31" s="41"/>
      <c r="D31" s="40"/>
      <c r="E31" s="80">
        <f>IFERROR(used_esu/_xlfn.XLOOKUP(A31,Defaults!$D$7:$D$11,Defaults!$C$7:$C$11),0)</f>
        <v>1.5224575850268718</v>
      </c>
      <c r="F31" s="149">
        <f>_xlfn.XLOOKUP(A111,Defaults!$A$127:$A$142,Defaults!$C$127:$C$142,0)</f>
        <v>57150.575820000005</v>
      </c>
      <c r="G31" s="47">
        <v>4</v>
      </c>
      <c r="H31" s="63">
        <f>IF('Practice Inputs'!$B$48=0,E31,B31)</f>
        <v>1.5224575850268718</v>
      </c>
      <c r="I31" s="44">
        <f t="shared" si="15"/>
        <v>57150.575820000005</v>
      </c>
      <c r="J31" s="19">
        <f t="shared" si="16"/>
        <v>0.49609874843750007</v>
      </c>
      <c r="K31">
        <f t="shared" si="17"/>
        <v>4</v>
      </c>
      <c r="L31">
        <f t="shared" si="18"/>
        <v>1920</v>
      </c>
    </row>
    <row r="32" spans="1:23">
      <c r="A32" t="s">
        <v>167</v>
      </c>
      <c r="B32" s="40"/>
      <c r="C32" s="41"/>
      <c r="D32" s="40"/>
      <c r="E32" s="80">
        <f>IFERROR(used_esu/_xlfn.XLOOKUP(A32,Defaults!$D$7:$D$11,Defaults!$C$7:$C$11),0)</f>
        <v>0</v>
      </c>
      <c r="F32" s="149">
        <f>_xlfn.XLOOKUP(A112,Defaults!$A$127:$A$142,Defaults!$C$127:$C$142,0)</f>
        <v>57150.575820000005</v>
      </c>
      <c r="G32" s="47">
        <v>4</v>
      </c>
      <c r="H32" s="63">
        <f>IF('Practice Inputs'!$B$48=0,E32,B32)</f>
        <v>0</v>
      </c>
      <c r="I32" s="44">
        <f t="shared" si="15"/>
        <v>57150.575820000005</v>
      </c>
      <c r="J32" s="19">
        <f t="shared" si="16"/>
        <v>0.49609874843750007</v>
      </c>
      <c r="K32">
        <f t="shared" si="17"/>
        <v>4</v>
      </c>
      <c r="L32">
        <f t="shared" si="18"/>
        <v>1920</v>
      </c>
    </row>
    <row r="33" spans="1:12">
      <c r="A33" t="s">
        <v>137</v>
      </c>
      <c r="B33" s="40"/>
      <c r="C33" s="41"/>
      <c r="D33" s="40"/>
      <c r="E33" s="80">
        <f>IFERROR(used_esu/_xlfn.XLOOKUP(A33,Defaults!$D$7:$D$11,Defaults!$C$7:$C$11),0)</f>
        <v>2.5446791064020573</v>
      </c>
      <c r="F33" s="149">
        <f>_xlfn.XLOOKUP(A113,Defaults!$A$127:$A$142,Defaults!$C$127:$C$142,0)</f>
        <v>54182.545650000007</v>
      </c>
      <c r="G33" s="47">
        <v>4</v>
      </c>
      <c r="H33" s="63">
        <f>IF('Practice Inputs'!$B$48=0,E33,B33)</f>
        <v>2.5446791064020573</v>
      </c>
      <c r="I33" s="44">
        <f t="shared" si="15"/>
        <v>54182.545650000007</v>
      </c>
      <c r="J33" s="19">
        <f t="shared" si="16"/>
        <v>0.47033459765625008</v>
      </c>
      <c r="K33">
        <f t="shared" si="17"/>
        <v>4</v>
      </c>
      <c r="L33">
        <f t="shared" si="18"/>
        <v>1920</v>
      </c>
    </row>
    <row r="34" spans="1:12">
      <c r="A34" t="s">
        <v>285</v>
      </c>
      <c r="B34" s="40"/>
      <c r="C34" s="41"/>
      <c r="D34" s="40"/>
      <c r="E34" s="80">
        <f>IFERROR(used_esu/_xlfn.XLOOKUP(A34,Defaults!$D$7:$D$11,Defaults!$C$7:$C$11),0)</f>
        <v>0.5</v>
      </c>
      <c r="F34" s="149">
        <f>_xlfn.XLOOKUP(A114,Defaults!$A$127:$A$142,Defaults!$C$127:$C$142,0)</f>
        <v>130129.20000000001</v>
      </c>
      <c r="G34" s="47">
        <v>4</v>
      </c>
      <c r="H34" s="63">
        <f>IF('Practice Inputs'!$B$48=0,E34,B34)</f>
        <v>0.5</v>
      </c>
      <c r="I34" s="44">
        <f t="shared" si="15"/>
        <v>130129.20000000001</v>
      </c>
      <c r="J34" s="19">
        <f t="shared" si="16"/>
        <v>1.1295937500000002</v>
      </c>
      <c r="K34">
        <f t="shared" si="17"/>
        <v>4</v>
      </c>
      <c r="L34">
        <f t="shared" si="18"/>
        <v>1920</v>
      </c>
    </row>
    <row r="35" spans="1:12">
      <c r="A35" t="s">
        <v>84</v>
      </c>
      <c r="B35" s="40"/>
      <c r="C35" s="41"/>
      <c r="D35" s="40"/>
      <c r="E35" s="80">
        <f>IFERROR(used_esu/_xlfn.XLOOKUP(A35,Defaults!$D$7:$D$11,Defaults!$C$7:$C$11),0)</f>
        <v>0</v>
      </c>
      <c r="F35" s="149">
        <f>_xlfn.XLOOKUP(A115,Defaults!$A$127:$A$142,Defaults!$C$127:$C$142,0)</f>
        <v>126245.92779000002</v>
      </c>
      <c r="G35" s="47">
        <v>4</v>
      </c>
      <c r="H35" s="63">
        <f>IF('Practice Inputs'!$B$48=0,E35,B35)</f>
        <v>0</v>
      </c>
      <c r="I35" s="44">
        <f t="shared" si="15"/>
        <v>126245.92779000002</v>
      </c>
      <c r="J35" s="19">
        <f t="shared" si="16"/>
        <v>1.0958847898437503</v>
      </c>
      <c r="K35">
        <f t="shared" si="17"/>
        <v>4</v>
      </c>
      <c r="L35">
        <f t="shared" si="18"/>
        <v>1920</v>
      </c>
    </row>
    <row r="36" spans="1:12">
      <c r="A36" t="s">
        <v>286</v>
      </c>
      <c r="B36" s="40"/>
      <c r="C36" s="41"/>
      <c r="D36" s="40"/>
      <c r="E36" s="80">
        <f>IFERROR(used_esu/_xlfn.XLOOKUP(A36,Defaults!$D$7:$D$11,Defaults!$C$7:$C$11),0)</f>
        <v>0</v>
      </c>
      <c r="F36" s="149">
        <f>_xlfn.XLOOKUP(A116,Defaults!$A$127:$A$142,Defaults!$C$127:$C$142,0)</f>
        <v>112049.91648000001</v>
      </c>
      <c r="G36" s="47">
        <v>4</v>
      </c>
      <c r="H36" s="63">
        <f>IF('Practice Inputs'!$B$48=0,E36,B36)</f>
        <v>0</v>
      </c>
      <c r="I36" s="44">
        <f t="shared" si="15"/>
        <v>112049.91648000001</v>
      </c>
      <c r="J36" s="19">
        <f t="shared" si="16"/>
        <v>0.97265552500000019</v>
      </c>
      <c r="K36">
        <f t="shared" si="17"/>
        <v>4</v>
      </c>
      <c r="L36">
        <f t="shared" si="18"/>
        <v>1920</v>
      </c>
    </row>
    <row r="37" spans="1:12">
      <c r="A37" t="s">
        <v>287</v>
      </c>
      <c r="B37" s="40"/>
      <c r="C37" s="41"/>
      <c r="D37" s="40"/>
      <c r="E37" s="80">
        <f>IFERROR(used_esu/_xlfn.XLOOKUP(A37,Defaults!$D$7:$D$11,Defaults!$C$7:$C$11),0)</f>
        <v>0</v>
      </c>
      <c r="F37" s="149">
        <f>_xlfn.XLOOKUP(A117,Defaults!$A$127:$A$142,Defaults!$C$127:$C$142,0)</f>
        <v>112049.91648000001</v>
      </c>
      <c r="G37" s="47">
        <v>4</v>
      </c>
      <c r="H37" s="63">
        <f>IF('Practice Inputs'!$B$48=0,E37,B37)</f>
        <v>0</v>
      </c>
      <c r="I37" s="44">
        <f t="shared" si="15"/>
        <v>112049.91648000001</v>
      </c>
      <c r="J37" s="19">
        <f t="shared" si="16"/>
        <v>0.97265552500000019</v>
      </c>
      <c r="K37">
        <f t="shared" si="17"/>
        <v>4</v>
      </c>
      <c r="L37">
        <f t="shared" si="18"/>
        <v>1920</v>
      </c>
    </row>
    <row r="38" spans="1:12">
      <c r="A38" t="s">
        <v>288</v>
      </c>
      <c r="B38" s="40"/>
      <c r="C38" s="41"/>
      <c r="D38" s="40"/>
      <c r="E38" s="80">
        <f>IFERROR(used_esu/_xlfn.XLOOKUP(A38,Defaults!$D$7:$D$11,Defaults!$C$7:$C$11),0)</f>
        <v>0</v>
      </c>
      <c r="F38" s="149">
        <f>_xlfn.XLOOKUP(A118,Defaults!$A$127:$A$142,Defaults!$C$127:$C$142,0)</f>
        <v>112049.91648000001</v>
      </c>
      <c r="G38" s="47">
        <v>4</v>
      </c>
      <c r="H38" s="63">
        <f>IF('Practice Inputs'!$B$48=0,E38,B38)</f>
        <v>0</v>
      </c>
      <c r="I38" s="44">
        <f t="shared" si="15"/>
        <v>112049.91648000001</v>
      </c>
      <c r="J38" s="19">
        <f t="shared" si="16"/>
        <v>0.97265552500000019</v>
      </c>
      <c r="K38">
        <f t="shared" si="17"/>
        <v>4</v>
      </c>
      <c r="L38">
        <f t="shared" si="18"/>
        <v>1920</v>
      </c>
    </row>
    <row r="39" spans="1:12">
      <c r="A39" t="s">
        <v>289</v>
      </c>
      <c r="B39" s="40"/>
      <c r="C39" s="41"/>
      <c r="D39" s="40"/>
      <c r="E39" s="80">
        <f>IFERROR(used_esu/_xlfn.XLOOKUP(A39,Defaults!$D$7:$D$11,Defaults!$C$7:$C$11),0)</f>
        <v>0</v>
      </c>
      <c r="F39" s="149">
        <f>_xlfn.XLOOKUP(A119,Defaults!$A$127:$A$142,Defaults!$C$127:$C$142,0)</f>
        <v>90207.730260000011</v>
      </c>
      <c r="G39" s="47">
        <v>4</v>
      </c>
      <c r="H39" s="63">
        <f>IF('Practice Inputs'!$B$48=0,E39,B39)</f>
        <v>0</v>
      </c>
      <c r="I39" s="44">
        <f t="shared" si="15"/>
        <v>90207.730260000011</v>
      </c>
      <c r="J39" s="19">
        <f t="shared" si="16"/>
        <v>0.78305321406250006</v>
      </c>
      <c r="K39">
        <f t="shared" si="17"/>
        <v>4</v>
      </c>
      <c r="L39">
        <f t="shared" si="18"/>
        <v>1920</v>
      </c>
    </row>
    <row r="40" spans="1:12">
      <c r="A40" t="s">
        <v>113</v>
      </c>
      <c r="B40" s="40"/>
      <c r="C40" s="41"/>
      <c r="D40" s="40"/>
      <c r="E40" s="80">
        <f>IFERROR(used_esu/_xlfn.XLOOKUP(A40,Defaults!$D$7:$D$11,Defaults!$C$7:$C$11),0)</f>
        <v>0</v>
      </c>
      <c r="F40" s="149">
        <f>_xlfn.XLOOKUP(A120,Defaults!$A$127:$A$142,Defaults!$C$127:$C$142,0)</f>
        <v>90207.730260000011</v>
      </c>
      <c r="G40" s="47">
        <v>4</v>
      </c>
      <c r="H40" s="63">
        <f>IF('Practice Inputs'!$B$48=0,E40,B40)</f>
        <v>0</v>
      </c>
      <c r="I40" s="44">
        <f t="shared" si="15"/>
        <v>90207.730260000011</v>
      </c>
      <c r="J40" s="19">
        <f t="shared" si="16"/>
        <v>0.78305321406250006</v>
      </c>
      <c r="K40">
        <f t="shared" si="17"/>
        <v>4</v>
      </c>
      <c r="L40">
        <f t="shared" si="18"/>
        <v>1920</v>
      </c>
    </row>
    <row r="41" spans="1:12">
      <c r="A41" t="s">
        <v>290</v>
      </c>
      <c r="B41" s="40"/>
      <c r="C41" s="41"/>
      <c r="D41" s="40"/>
      <c r="E41" s="80">
        <f>IFERROR(used_esu/_xlfn.XLOOKUP(A41,Defaults!$D$7:$D$11,Defaults!$C$7:$C$11),0)</f>
        <v>0</v>
      </c>
      <c r="F41" s="149">
        <f>_xlfn.XLOOKUP(A121,Defaults!$A$127:$A$142,Defaults!$C$127:$C$142,0)</f>
        <v>90207.730260000011</v>
      </c>
      <c r="G41" s="47">
        <v>4</v>
      </c>
      <c r="H41" s="63">
        <f>IF('Practice Inputs'!$B$48=0,E41,B41)</f>
        <v>0</v>
      </c>
      <c r="I41" s="44">
        <f t="shared" si="15"/>
        <v>90207.730260000011</v>
      </c>
      <c r="J41" s="19">
        <f t="shared" si="16"/>
        <v>0.78305321406250006</v>
      </c>
      <c r="K41">
        <f t="shared" si="17"/>
        <v>4</v>
      </c>
      <c r="L41">
        <f t="shared" si="18"/>
        <v>1920</v>
      </c>
    </row>
    <row r="42" spans="1:12">
      <c r="A42" t="s">
        <v>291</v>
      </c>
      <c r="B42" s="40"/>
      <c r="C42" s="41"/>
      <c r="D42" s="40"/>
      <c r="E42" s="80">
        <f>IFERROR(used_esu/_xlfn.XLOOKUP(A42,Defaults!$D$7:$D$11,Defaults!$C$7:$C$11),0)</f>
        <v>0</v>
      </c>
      <c r="F42" s="149">
        <f>_xlfn.XLOOKUP(A122,Defaults!$A$127:$A$142,Defaults!$C$127:$C$142,0)</f>
        <v>57150.575820000005</v>
      </c>
      <c r="G42" s="47">
        <v>4</v>
      </c>
      <c r="H42" s="63">
        <f>IF('Practice Inputs'!$B$48=0,E42,B42)</f>
        <v>0</v>
      </c>
      <c r="I42" s="44">
        <f t="shared" si="15"/>
        <v>57150.575820000005</v>
      </c>
      <c r="J42" s="19">
        <f t="shared" si="16"/>
        <v>0.49609874843750007</v>
      </c>
      <c r="K42">
        <f t="shared" si="17"/>
        <v>4</v>
      </c>
      <c r="L42">
        <f t="shared" si="18"/>
        <v>1920</v>
      </c>
    </row>
    <row r="43" spans="1:12">
      <c r="A43" t="s">
        <v>292</v>
      </c>
      <c r="B43" s="40"/>
      <c r="C43" s="41"/>
      <c r="D43" s="40"/>
      <c r="E43" s="80">
        <f>IFERROR(used_esu/_xlfn.XLOOKUP(A43,Defaults!$D$7:$D$11,Defaults!$C$7:$C$11),0)</f>
        <v>0</v>
      </c>
      <c r="F43" s="149">
        <f>_xlfn.XLOOKUP(A123,Defaults!$A$127:$A$142,Defaults!$C$127:$C$142,0)</f>
        <v>90207.730260000011</v>
      </c>
      <c r="G43" s="47">
        <v>4</v>
      </c>
      <c r="H43" s="63">
        <f>IF('Practice Inputs'!$B$48=0,E43,B43)</f>
        <v>0</v>
      </c>
      <c r="I43" s="44">
        <f t="shared" si="15"/>
        <v>90207.730260000011</v>
      </c>
      <c r="J43" s="19">
        <f t="shared" si="16"/>
        <v>0.78305321406250006</v>
      </c>
      <c r="K43">
        <f t="shared" si="17"/>
        <v>4</v>
      </c>
      <c r="L43">
        <f t="shared" si="18"/>
        <v>1920</v>
      </c>
    </row>
    <row r="44" spans="1:12">
      <c r="A44" s="40" t="s">
        <v>293</v>
      </c>
      <c r="B44" s="40"/>
      <c r="C44" s="41"/>
      <c r="D44" s="40"/>
      <c r="E44" s="80">
        <f>IFERROR(used_esu/_xlfn.XLOOKUP(A44,Defaults!$D$7:$D$11,Defaults!$C$7:$C$11),0)</f>
        <v>0</v>
      </c>
      <c r="F44" s="149">
        <f>_xlfn.XLOOKUP(A124,Defaults!$A$127:$A$142,Defaults!$C$127:$C$142,0)</f>
        <v>0</v>
      </c>
      <c r="G44" s="47">
        <v>4</v>
      </c>
      <c r="H44" s="63">
        <f>IF('Practice Inputs'!$B$48=0,E44,B44)</f>
        <v>0</v>
      </c>
      <c r="I44" s="44">
        <f t="shared" si="15"/>
        <v>0</v>
      </c>
      <c r="J44" s="19">
        <f t="shared" si="16"/>
        <v>0</v>
      </c>
      <c r="K44">
        <f t="shared" si="17"/>
        <v>4</v>
      </c>
      <c r="L44">
        <f t="shared" si="18"/>
        <v>1920</v>
      </c>
    </row>
    <row r="45" spans="1:12">
      <c r="A45" s="40"/>
      <c r="B45" s="40"/>
      <c r="C45" s="41"/>
      <c r="D45" s="40"/>
      <c r="E45" s="80">
        <f>IFERROR(used_esu/_xlfn.XLOOKUP(A45,Defaults!$D$7:$D$11,Defaults!$C$7:$C$11),0)</f>
        <v>0</v>
      </c>
      <c r="F45" s="149">
        <f>_xlfn.XLOOKUP(A125,Defaults!$A$127:$A$142,Defaults!$C$127:$C$142,0)</f>
        <v>0</v>
      </c>
      <c r="G45" s="47">
        <v>4</v>
      </c>
      <c r="H45" s="63">
        <f>IF('Practice Inputs'!$B$48=0,E45,B45)</f>
        <v>0</v>
      </c>
      <c r="I45" s="44">
        <f t="shared" si="15"/>
        <v>0</v>
      </c>
      <c r="J45" s="19">
        <f t="shared" si="16"/>
        <v>0</v>
      </c>
      <c r="K45">
        <f t="shared" si="17"/>
        <v>4</v>
      </c>
      <c r="L45">
        <f t="shared" si="18"/>
        <v>1920</v>
      </c>
    </row>
    <row r="46" spans="1:12">
      <c r="A46" s="40"/>
      <c r="B46" s="40"/>
      <c r="C46" s="41"/>
      <c r="D46" s="40"/>
      <c r="E46" s="80">
        <f>IFERROR(used_esu/_xlfn.XLOOKUP(A46,Defaults!$D$7:$D$11,Defaults!$C$7:$C$11),0)</f>
        <v>0</v>
      </c>
      <c r="F46" s="149">
        <f>_xlfn.XLOOKUP(A126,Defaults!$A$127:$A$142,Defaults!$C$127:$C$142,0)</f>
        <v>0</v>
      </c>
      <c r="G46" s="47">
        <v>4</v>
      </c>
      <c r="H46" s="63">
        <f>IF('Practice Inputs'!$B$48=0,E46,B46)</f>
        <v>0</v>
      </c>
      <c r="I46" s="44">
        <f t="shared" si="15"/>
        <v>0</v>
      </c>
      <c r="J46" s="19">
        <f t="shared" si="16"/>
        <v>0</v>
      </c>
      <c r="K46">
        <f t="shared" si="17"/>
        <v>4</v>
      </c>
      <c r="L46">
        <f t="shared" si="18"/>
        <v>1920</v>
      </c>
    </row>
    <row r="47" spans="1:12">
      <c r="A47" s="40"/>
      <c r="B47" s="40"/>
      <c r="C47" s="41"/>
      <c r="D47" s="40"/>
      <c r="E47" s="80">
        <f>IFERROR(used_esu/_xlfn.XLOOKUP(A47,Defaults!$D$7:$D$11,Defaults!$C$7:$C$11),0)</f>
        <v>0</v>
      </c>
      <c r="F47" s="149">
        <f>_xlfn.XLOOKUP(A127,Defaults!$A$127:$A$142,Defaults!$C$127:$C$142,0)</f>
        <v>0</v>
      </c>
      <c r="G47" s="47">
        <v>4</v>
      </c>
      <c r="H47" s="63">
        <f>IF('Practice Inputs'!$B$48=0,E47,B47)</f>
        <v>0</v>
      </c>
      <c r="I47" s="44">
        <f t="shared" si="15"/>
        <v>0</v>
      </c>
      <c r="J47" s="19">
        <f t="shared" si="16"/>
        <v>0</v>
      </c>
      <c r="K47">
        <f t="shared" si="17"/>
        <v>4</v>
      </c>
      <c r="L47">
        <f t="shared" si="18"/>
        <v>1920</v>
      </c>
    </row>
    <row r="48" spans="1:12">
      <c r="A48" s="22" t="s">
        <v>294</v>
      </c>
      <c r="B48">
        <f>SUM(B28:B47)</f>
        <v>0</v>
      </c>
      <c r="E48" s="80">
        <f>SUM(E28:E47)</f>
        <v>9.9009603024181132</v>
      </c>
      <c r="H48" s="63">
        <f>SUM(H28:H47)</f>
        <v>9.9009603024181132</v>
      </c>
    </row>
    <row r="49" spans="1:15">
      <c r="A49" s="22"/>
      <c r="D49" s="80"/>
      <c r="F49" s="63"/>
    </row>
    <row r="50" spans="1:15">
      <c r="C50" s="47"/>
    </row>
    <row r="51" spans="1:15" ht="18.899999999999999" thickBot="1">
      <c r="A51" s="128" t="s">
        <v>51</v>
      </c>
      <c r="B51" s="119"/>
      <c r="C51" s="119"/>
      <c r="D51" s="119"/>
      <c r="E51" s="119"/>
      <c r="F51" s="119"/>
      <c r="G51" s="119"/>
      <c r="H51" s="119"/>
      <c r="I51" s="119"/>
      <c r="J51" s="119"/>
      <c r="K51" s="119"/>
      <c r="L51" s="119"/>
      <c r="M51" s="119"/>
      <c r="N51" s="119"/>
      <c r="O51" s="119"/>
    </row>
    <row r="52" spans="1:15" ht="15.9">
      <c r="B52" s="18" t="s">
        <v>264</v>
      </c>
      <c r="E52" s="105" t="s">
        <v>73</v>
      </c>
      <c r="F52" s="47"/>
      <c r="G52" s="47"/>
      <c r="H52" s="18" t="s">
        <v>266</v>
      </c>
    </row>
    <row r="53" spans="1:15" s="51" customFormat="1" ht="58.3">
      <c r="B53" s="51" t="s">
        <v>295</v>
      </c>
      <c r="C53" s="51" t="s">
        <v>296</v>
      </c>
      <c r="D53" s="51" t="s">
        <v>297</v>
      </c>
      <c r="E53" s="112" t="s">
        <v>295</v>
      </c>
      <c r="F53" s="112" t="s">
        <v>296</v>
      </c>
      <c r="G53" s="112" t="s">
        <v>297</v>
      </c>
      <c r="H53" s="51" t="s">
        <v>295</v>
      </c>
      <c r="I53" s="51" t="s">
        <v>296</v>
      </c>
      <c r="J53" s="51" t="s">
        <v>298</v>
      </c>
      <c r="K53" s="51" t="s">
        <v>299</v>
      </c>
      <c r="L53" s="51" t="s">
        <v>300</v>
      </c>
      <c r="M53" s="51" t="s">
        <v>301</v>
      </c>
    </row>
    <row r="54" spans="1:15">
      <c r="A54" t="s">
        <v>136</v>
      </c>
      <c r="B54" s="33"/>
      <c r="C54" s="33"/>
      <c r="D54" s="250"/>
      <c r="E54" s="106">
        <f>Defaults!$C$48*used_esu</f>
        <v>18500</v>
      </c>
      <c r="F54" s="106">
        <v>15</v>
      </c>
      <c r="G54" s="107">
        <f>_xlfn.XLOOKUP(input_vlca,Defaults!$B$108:$C$108,Defaults!$B$114:$C$114)</f>
        <v>39.111545900836234</v>
      </c>
      <c r="H54" s="25">
        <f>IF(SUM($B$54:$B$67)=0,E54,B54)</f>
        <v>18500</v>
      </c>
      <c r="I54" s="25">
        <f t="shared" ref="I54:I67" si="19">IF(C54="",F54,C54)</f>
        <v>15</v>
      </c>
      <c r="J54" s="32">
        <f>IFERROR((H54*I54)/(_xlfn.XLOOKUP(A54,$A$28:$A$47,$H$28:$H$47,0)*_xlfn.XLOOKUP(A54,$A$28:$A$47,$L$28:$L$47,1920)*60),0)</f>
        <v>0.84210398221771587</v>
      </c>
      <c r="K54" s="19">
        <f>IF(D54="",G54,D54)/1.15</f>
        <v>34.01003991377064</v>
      </c>
      <c r="L54" s="19">
        <f t="shared" ref="L54:L67" si="20">IFERROR((_xlfn.XLOOKUP(A54,$A$28:$A$47,$J$28:$J$47,0)/J54*(1+$G$129)+$E$162)*I54,0)</f>
        <v>75.881498891089123</v>
      </c>
      <c r="M54" s="19">
        <f t="shared" ref="M54:M67" si="21">K54-L54</f>
        <v>-41.871458977318483</v>
      </c>
    </row>
    <row r="55" spans="1:15">
      <c r="A55" t="s">
        <v>284</v>
      </c>
      <c r="B55" s="33"/>
      <c r="C55" s="33"/>
      <c r="D55" s="250"/>
      <c r="E55" s="106">
        <v>0</v>
      </c>
      <c r="F55" s="47">
        <v>15</v>
      </c>
      <c r="G55" s="107">
        <f>G54</f>
        <v>39.111545900836234</v>
      </c>
      <c r="H55" s="25">
        <f t="shared" ref="H55:H67" si="22">IF(SUM($B$54:$B$67)=0,E55,B55)</f>
        <v>0</v>
      </c>
      <c r="I55" s="25">
        <f t="shared" si="19"/>
        <v>15</v>
      </c>
      <c r="J55" s="32">
        <f t="shared" ref="J55:J67" si="23">IFERROR((H55*I55)/(_xlfn.XLOOKUP(A55,$A$28:$A$47,$H$28:$H$47,0)*_xlfn.XLOOKUP(A55,$A$28:$A$47,$L$28:$L$47,1920)*60),0)</f>
        <v>0</v>
      </c>
      <c r="K55" s="19">
        <f t="shared" ref="K55:K67" si="24">IF(D55="",G55,D55)/1.15</f>
        <v>34.01003991377064</v>
      </c>
      <c r="L55" s="19">
        <f t="shared" si="20"/>
        <v>0</v>
      </c>
      <c r="M55" s="19">
        <f t="shared" si="21"/>
        <v>34.01003991377064</v>
      </c>
    </row>
    <row r="56" spans="1:15">
      <c r="A56" t="s">
        <v>90</v>
      </c>
      <c r="B56" s="33"/>
      <c r="C56" s="33"/>
      <c r="D56" s="250"/>
      <c r="E56" s="106">
        <f>Defaults!$C$49*used_esu</f>
        <v>2500</v>
      </c>
      <c r="F56" s="106">
        <v>15</v>
      </c>
      <c r="G56" s="107">
        <f>_xlfn.XLOOKUP(input_vlca,Defaults!$B$108:$C$108,Defaults!$B$115:$C$115)</f>
        <v>1</v>
      </c>
      <c r="H56" s="25">
        <f t="shared" si="22"/>
        <v>2500</v>
      </c>
      <c r="I56" s="25">
        <f t="shared" si="19"/>
        <v>15</v>
      </c>
      <c r="J56" s="32">
        <f t="shared" si="23"/>
        <v>0.1446076527048073</v>
      </c>
      <c r="K56" s="19">
        <f t="shared" si="24"/>
        <v>0.86956521739130443</v>
      </c>
      <c r="L56" s="19">
        <f t="shared" si="20"/>
        <v>117.23357126700854</v>
      </c>
      <c r="M56" s="19">
        <f t="shared" si="21"/>
        <v>-116.36400604961725</v>
      </c>
    </row>
    <row r="57" spans="1:15">
      <c r="A57" t="s">
        <v>84</v>
      </c>
      <c r="B57" s="33"/>
      <c r="C57" s="33"/>
      <c r="D57" s="250"/>
      <c r="E57" s="106">
        <v>0</v>
      </c>
      <c r="F57" s="106">
        <v>15</v>
      </c>
      <c r="G57" s="107">
        <f>$G$54/2</f>
        <v>19.555772950418117</v>
      </c>
      <c r="H57" s="25">
        <f t="shared" si="22"/>
        <v>0</v>
      </c>
      <c r="I57" s="25">
        <f t="shared" si="19"/>
        <v>15</v>
      </c>
      <c r="J57" s="32">
        <f t="shared" si="23"/>
        <v>0</v>
      </c>
      <c r="K57" s="19">
        <f t="shared" si="24"/>
        <v>17.00501995688532</v>
      </c>
      <c r="L57" s="19">
        <f t="shared" si="20"/>
        <v>0</v>
      </c>
      <c r="M57" s="19">
        <f t="shared" si="21"/>
        <v>17.00501995688532</v>
      </c>
    </row>
    <row r="58" spans="1:15">
      <c r="A58" t="s">
        <v>286</v>
      </c>
      <c r="B58" s="33"/>
      <c r="C58" s="33"/>
      <c r="D58" s="250"/>
      <c r="E58" s="106">
        <v>0</v>
      </c>
      <c r="F58" s="106">
        <v>30</v>
      </c>
      <c r="G58" s="107">
        <f t="shared" ref="G58:G60" si="25">$G$54</f>
        <v>39.111545900836234</v>
      </c>
      <c r="H58" s="25">
        <f t="shared" si="22"/>
        <v>0</v>
      </c>
      <c r="I58" s="25">
        <f t="shared" si="19"/>
        <v>30</v>
      </c>
      <c r="J58" s="32">
        <f t="shared" si="23"/>
        <v>0</v>
      </c>
      <c r="K58" s="19">
        <f t="shared" si="24"/>
        <v>34.01003991377064</v>
      </c>
      <c r="L58" s="19">
        <f t="shared" si="20"/>
        <v>0</v>
      </c>
      <c r="M58" s="19">
        <f t="shared" si="21"/>
        <v>34.01003991377064</v>
      </c>
    </row>
    <row r="59" spans="1:15">
      <c r="A59" t="s">
        <v>287</v>
      </c>
      <c r="B59" s="33"/>
      <c r="C59" s="33"/>
      <c r="D59" s="250"/>
      <c r="E59" s="106">
        <v>0</v>
      </c>
      <c r="F59" s="106">
        <v>30</v>
      </c>
      <c r="G59" s="107">
        <f t="shared" si="25"/>
        <v>39.111545900836234</v>
      </c>
      <c r="H59" s="25">
        <f t="shared" si="22"/>
        <v>0</v>
      </c>
      <c r="I59" s="25">
        <f t="shared" si="19"/>
        <v>30</v>
      </c>
      <c r="J59" s="32">
        <f t="shared" si="23"/>
        <v>0</v>
      </c>
      <c r="K59" s="19">
        <f t="shared" si="24"/>
        <v>34.01003991377064</v>
      </c>
      <c r="L59" s="19">
        <f t="shared" si="20"/>
        <v>0</v>
      </c>
      <c r="M59" s="19">
        <f t="shared" si="21"/>
        <v>34.01003991377064</v>
      </c>
    </row>
    <row r="60" spans="1:15">
      <c r="A60" t="s">
        <v>288</v>
      </c>
      <c r="B60" s="33"/>
      <c r="C60" s="33"/>
      <c r="D60" s="250"/>
      <c r="E60" s="106">
        <v>0</v>
      </c>
      <c r="F60" s="106">
        <v>30</v>
      </c>
      <c r="G60" s="107">
        <f t="shared" si="25"/>
        <v>39.111545900836234</v>
      </c>
      <c r="H60" s="25">
        <f t="shared" si="22"/>
        <v>0</v>
      </c>
      <c r="I60" s="25">
        <f t="shared" si="19"/>
        <v>30</v>
      </c>
      <c r="J60" s="32">
        <f t="shared" si="23"/>
        <v>0</v>
      </c>
      <c r="K60" s="19">
        <f t="shared" si="24"/>
        <v>34.01003991377064</v>
      </c>
      <c r="L60" s="19">
        <f t="shared" si="20"/>
        <v>0</v>
      </c>
      <c r="M60" s="19">
        <f t="shared" si="21"/>
        <v>34.01003991377064</v>
      </c>
    </row>
    <row r="61" spans="1:15">
      <c r="A61" t="s">
        <v>289</v>
      </c>
      <c r="B61" s="33"/>
      <c r="C61" s="33"/>
      <c r="D61" s="250"/>
      <c r="E61" s="106">
        <v>0</v>
      </c>
      <c r="F61" s="106">
        <v>30</v>
      </c>
      <c r="G61" s="107">
        <f>$G$54/2</f>
        <v>19.555772950418117</v>
      </c>
      <c r="H61" s="25">
        <f t="shared" si="22"/>
        <v>0</v>
      </c>
      <c r="I61" s="25">
        <f t="shared" si="19"/>
        <v>30</v>
      </c>
      <c r="J61" s="32">
        <f t="shared" si="23"/>
        <v>0</v>
      </c>
      <c r="K61" s="19">
        <f t="shared" si="24"/>
        <v>17.00501995688532</v>
      </c>
      <c r="L61" s="19">
        <f t="shared" si="20"/>
        <v>0</v>
      </c>
      <c r="M61" s="19">
        <f t="shared" si="21"/>
        <v>17.00501995688532</v>
      </c>
    </row>
    <row r="62" spans="1:15">
      <c r="A62" t="s">
        <v>113</v>
      </c>
      <c r="B62" s="33"/>
      <c r="C62" s="33"/>
      <c r="D62" s="250"/>
      <c r="E62" s="106">
        <v>0</v>
      </c>
      <c r="F62" s="106">
        <v>30</v>
      </c>
      <c r="G62" s="107">
        <f t="shared" ref="G62:G67" si="26">$G$54/2</f>
        <v>19.555772950418117</v>
      </c>
      <c r="H62" s="25">
        <f t="shared" si="22"/>
        <v>0</v>
      </c>
      <c r="I62" s="25">
        <f t="shared" si="19"/>
        <v>30</v>
      </c>
      <c r="J62" s="32">
        <f t="shared" si="23"/>
        <v>0</v>
      </c>
      <c r="K62" s="19">
        <f t="shared" si="24"/>
        <v>17.00501995688532</v>
      </c>
      <c r="L62" s="19">
        <f t="shared" si="20"/>
        <v>0</v>
      </c>
      <c r="M62" s="19">
        <f t="shared" si="21"/>
        <v>17.00501995688532</v>
      </c>
    </row>
    <row r="63" spans="1:15">
      <c r="A63" t="s">
        <v>290</v>
      </c>
      <c r="B63" s="33"/>
      <c r="C63" s="33"/>
      <c r="D63" s="250"/>
      <c r="E63" s="106">
        <v>0</v>
      </c>
      <c r="F63" s="106">
        <v>30</v>
      </c>
      <c r="G63" s="107">
        <f t="shared" si="26"/>
        <v>19.555772950418117</v>
      </c>
      <c r="H63" s="25">
        <f t="shared" si="22"/>
        <v>0</v>
      </c>
      <c r="I63" s="25">
        <f t="shared" si="19"/>
        <v>30</v>
      </c>
      <c r="J63" s="32">
        <f t="shared" si="23"/>
        <v>0</v>
      </c>
      <c r="K63" s="19">
        <f t="shared" si="24"/>
        <v>17.00501995688532</v>
      </c>
      <c r="L63" s="19">
        <f t="shared" si="20"/>
        <v>0</v>
      </c>
      <c r="M63" s="19">
        <f t="shared" si="21"/>
        <v>17.00501995688532</v>
      </c>
    </row>
    <row r="64" spans="1:15">
      <c r="A64" t="s">
        <v>292</v>
      </c>
      <c r="B64" s="33"/>
      <c r="C64" s="33"/>
      <c r="D64" s="250"/>
      <c r="E64" s="106">
        <v>0</v>
      </c>
      <c r="F64" s="106">
        <v>30</v>
      </c>
      <c r="G64" s="107">
        <f t="shared" si="26"/>
        <v>19.555772950418117</v>
      </c>
      <c r="H64" s="25">
        <f t="shared" si="22"/>
        <v>0</v>
      </c>
      <c r="I64" s="25">
        <f t="shared" si="19"/>
        <v>30</v>
      </c>
      <c r="J64" s="32">
        <f t="shared" si="23"/>
        <v>0</v>
      </c>
      <c r="K64" s="19">
        <f t="shared" si="24"/>
        <v>17.00501995688532</v>
      </c>
      <c r="L64" s="19">
        <f t="shared" si="20"/>
        <v>0</v>
      </c>
      <c r="M64" s="19">
        <f t="shared" si="21"/>
        <v>17.00501995688532</v>
      </c>
    </row>
    <row r="65" spans="1:13">
      <c r="A65" s="301" t="s">
        <v>293</v>
      </c>
      <c r="B65" s="33"/>
      <c r="C65" s="33"/>
      <c r="D65" s="250"/>
      <c r="E65" s="106">
        <v>0</v>
      </c>
      <c r="F65" s="106">
        <v>30</v>
      </c>
      <c r="G65" s="107">
        <f>$G$54/2</f>
        <v>19.555772950418117</v>
      </c>
      <c r="H65" s="25">
        <f t="shared" si="22"/>
        <v>0</v>
      </c>
      <c r="I65" s="25">
        <f t="shared" si="19"/>
        <v>30</v>
      </c>
      <c r="J65" s="32">
        <f t="shared" si="23"/>
        <v>0</v>
      </c>
      <c r="K65" s="19">
        <f t="shared" si="24"/>
        <v>17.00501995688532</v>
      </c>
      <c r="L65" s="19">
        <f t="shared" si="20"/>
        <v>0</v>
      </c>
      <c r="M65" s="19">
        <f t="shared" si="21"/>
        <v>17.00501995688532</v>
      </c>
    </row>
    <row r="66" spans="1:13">
      <c r="A66" s="301"/>
      <c r="B66" s="33"/>
      <c r="C66" s="33"/>
      <c r="D66" s="250"/>
      <c r="E66" s="106">
        <v>0</v>
      </c>
      <c r="F66" s="106">
        <v>30</v>
      </c>
      <c r="G66" s="107">
        <f t="shared" si="26"/>
        <v>19.555772950418117</v>
      </c>
      <c r="H66" s="25">
        <f t="shared" si="22"/>
        <v>0</v>
      </c>
      <c r="I66" s="25">
        <f t="shared" si="19"/>
        <v>30</v>
      </c>
      <c r="J66" s="32">
        <f t="shared" si="23"/>
        <v>0</v>
      </c>
      <c r="K66" s="19">
        <f t="shared" si="24"/>
        <v>17.00501995688532</v>
      </c>
      <c r="L66" s="19">
        <f t="shared" si="20"/>
        <v>0</v>
      </c>
      <c r="M66" s="19">
        <f t="shared" si="21"/>
        <v>17.00501995688532</v>
      </c>
    </row>
    <row r="67" spans="1:13">
      <c r="A67" s="301"/>
      <c r="B67" s="33"/>
      <c r="C67" s="33"/>
      <c r="D67" s="250"/>
      <c r="E67" s="106">
        <v>0</v>
      </c>
      <c r="F67" s="106">
        <v>30</v>
      </c>
      <c r="G67" s="107">
        <f t="shared" si="26"/>
        <v>19.555772950418117</v>
      </c>
      <c r="H67" s="25">
        <f t="shared" si="22"/>
        <v>0</v>
      </c>
      <c r="I67" s="25">
        <f t="shared" si="19"/>
        <v>30</v>
      </c>
      <c r="J67" s="32">
        <f t="shared" si="23"/>
        <v>0</v>
      </c>
      <c r="K67" s="19">
        <f t="shared" si="24"/>
        <v>17.00501995688532</v>
      </c>
      <c r="L67" s="19">
        <f t="shared" si="20"/>
        <v>0</v>
      </c>
      <c r="M67" s="19">
        <f t="shared" si="21"/>
        <v>17.00501995688532</v>
      </c>
    </row>
    <row r="68" spans="1:13">
      <c r="A68" s="25"/>
      <c r="B68" s="25"/>
      <c r="C68" s="25"/>
      <c r="D68" s="25"/>
      <c r="E68" s="25"/>
      <c r="F68" s="19"/>
      <c r="G68" s="25"/>
      <c r="H68" s="19"/>
      <c r="I68" s="19"/>
      <c r="J68" s="19"/>
    </row>
    <row r="69" spans="1:13">
      <c r="A69" s="25" t="s">
        <v>302</v>
      </c>
      <c r="B69" s="25"/>
      <c r="C69" s="25"/>
      <c r="D69" s="25"/>
      <c r="E69" s="25"/>
      <c r="F69" s="25"/>
      <c r="G69" s="19"/>
      <c r="H69" s="25"/>
      <c r="I69" s="25"/>
      <c r="J69" s="19"/>
      <c r="K69" s="19"/>
      <c r="L69" s="19"/>
    </row>
    <row r="70" spans="1:13">
      <c r="A70" s="25" t="s">
        <v>303</v>
      </c>
      <c r="C70" s="47"/>
    </row>
    <row r="71" spans="1:13">
      <c r="A71" t="s">
        <v>304</v>
      </c>
      <c r="C71" s="47"/>
    </row>
    <row r="72" spans="1:13">
      <c r="B72" s="25"/>
      <c r="C72" s="25"/>
      <c r="D72" s="25"/>
    </row>
    <row r="73" spans="1:13" ht="18.899999999999999" thickBot="1">
      <c r="A73" s="128" t="s">
        <v>305</v>
      </c>
      <c r="B73" s="119"/>
      <c r="C73" s="119"/>
      <c r="D73" s="119"/>
      <c r="E73" s="119"/>
      <c r="F73" s="119"/>
      <c r="G73" s="119"/>
      <c r="H73" s="119"/>
      <c r="I73" s="119"/>
    </row>
    <row r="74" spans="1:13">
      <c r="A74" t="s">
        <v>306</v>
      </c>
      <c r="C74" s="47"/>
    </row>
    <row r="75" spans="1:13">
      <c r="C75" s="47"/>
    </row>
    <row r="76" spans="1:13">
      <c r="A76" t="s">
        <v>307</v>
      </c>
      <c r="C76" s="47"/>
    </row>
    <row r="77" spans="1:13">
      <c r="A77" t="s">
        <v>308</v>
      </c>
      <c r="C77" s="47"/>
    </row>
    <row r="78" spans="1:13">
      <c r="A78" t="s">
        <v>309</v>
      </c>
      <c r="C78" s="47"/>
    </row>
    <row r="79" spans="1:13">
      <c r="C79" s="47"/>
    </row>
    <row r="80" spans="1:13" ht="15.9">
      <c r="A80" s="43" t="s">
        <v>56</v>
      </c>
      <c r="B80" s="43"/>
      <c r="C80" s="105"/>
      <c r="D80" s="43"/>
      <c r="E80" s="43"/>
    </row>
    <row r="81" spans="1:12">
      <c r="C81" s="47"/>
    </row>
    <row r="82" spans="1:12">
      <c r="A82" s="39" t="s">
        <v>310</v>
      </c>
      <c r="B82" t="s">
        <v>311</v>
      </c>
      <c r="C82" s="47"/>
    </row>
    <row r="83" spans="1:12">
      <c r="A83" t="s">
        <v>312</v>
      </c>
      <c r="B83" s="41"/>
      <c r="C83" s="109">
        <f>SUMPRODUCT('Practice Inputs'!P12:P17,Defaults!T159:T164)+SUMPRODUCT('Practice Inputs'!Q12:Q17,Defaults!U159:U164)+SUMPRODUCT(R12:R17,Defaults!V159:V164)+SUMPRODUCT(S12:S17,Defaults!W159:W164)+SUMPRODUCT(T12:T17,Defaults!X159:X164)+SUMPRODUCT(U12:U17,Defaults!Y159:Y164)</f>
        <v>1299163.97586272</v>
      </c>
      <c r="D83" s="44">
        <f t="shared" ref="D83:D90" si="27">IF(B83="",C83,B83)</f>
        <v>1299163.97586272</v>
      </c>
    </row>
    <row r="84" spans="1:12" ht="15" customHeight="1">
      <c r="A84" t="s">
        <v>313</v>
      </c>
      <c r="B84" s="41"/>
      <c r="C84" s="109">
        <f>IF(input_vlca="VLCA",Defaults!$B$154*used_esu,0)</f>
        <v>0</v>
      </c>
      <c r="D84" s="44">
        <f t="shared" si="27"/>
        <v>0</v>
      </c>
    </row>
    <row r="85" spans="1:12">
      <c r="A85" t="s">
        <v>314</v>
      </c>
      <c r="B85" s="41"/>
      <c r="C85" s="109">
        <f>Defaults!$B$153*used_esu*5%</f>
        <v>72294.900000000009</v>
      </c>
      <c r="D85" s="44">
        <f>IF(B85="",C85,B85)</f>
        <v>72294.900000000009</v>
      </c>
      <c r="L85" s="32"/>
    </row>
    <row r="86" spans="1:12">
      <c r="A86" s="40" t="s">
        <v>315</v>
      </c>
      <c r="B86" s="41"/>
      <c r="C86" s="109"/>
      <c r="D86" s="44">
        <f t="shared" si="27"/>
        <v>0</v>
      </c>
      <c r="L86" s="32"/>
    </row>
    <row r="87" spans="1:12">
      <c r="A87" s="40"/>
      <c r="B87" s="41"/>
      <c r="C87" s="109"/>
      <c r="D87" s="44"/>
      <c r="L87" s="32"/>
    </row>
    <row r="88" spans="1:12">
      <c r="A88" s="40"/>
      <c r="B88" s="41"/>
      <c r="C88" s="109"/>
      <c r="D88" s="44">
        <f t="shared" si="27"/>
        <v>0</v>
      </c>
      <c r="L88" s="32"/>
    </row>
    <row r="89" spans="1:12">
      <c r="A89" s="40"/>
      <c r="B89" s="41"/>
      <c r="C89" s="109"/>
      <c r="D89" s="44">
        <f t="shared" si="27"/>
        <v>0</v>
      </c>
      <c r="L89" s="32"/>
    </row>
    <row r="90" spans="1:12">
      <c r="A90" s="40"/>
      <c r="B90" s="41"/>
      <c r="C90" s="109"/>
      <c r="D90" s="44">
        <f t="shared" si="27"/>
        <v>0</v>
      </c>
      <c r="L90" s="114"/>
    </row>
    <row r="91" spans="1:12">
      <c r="B91" s="38">
        <f>SUM(B83:B90)</f>
        <v>0</v>
      </c>
      <c r="C91" s="109">
        <f>SUM(C83:C90)</f>
        <v>1371458.87586272</v>
      </c>
      <c r="D91" s="38">
        <f>SUM(D83:D90)</f>
        <v>1371458.87586272</v>
      </c>
      <c r="L91" s="32"/>
    </row>
    <row r="92" spans="1:12">
      <c r="A92" s="39" t="s">
        <v>316</v>
      </c>
      <c r="C92" s="109"/>
      <c r="D92" s="38"/>
      <c r="L92" s="102"/>
    </row>
    <row r="93" spans="1:12">
      <c r="A93" t="s">
        <v>317</v>
      </c>
      <c r="B93" s="41"/>
      <c r="C93" s="109">
        <f>SUMPRODUCT(H54:H67,K54:K67)</f>
        <v>631359.65144823515</v>
      </c>
      <c r="D93" s="44">
        <f>IF(B93="",C93,B93)</f>
        <v>631359.65144823515</v>
      </c>
    </row>
    <row r="94" spans="1:12">
      <c r="A94" t="s">
        <v>318</v>
      </c>
      <c r="B94" s="41"/>
      <c r="C94" s="109">
        <f>C83*4.4%</f>
        <v>57163.214937959689</v>
      </c>
      <c r="D94" s="44">
        <f>IF(B94="",C94,B94)</f>
        <v>57163.214937959689</v>
      </c>
    </row>
    <row r="95" spans="1:12">
      <c r="A95" s="40" t="s">
        <v>319</v>
      </c>
      <c r="B95" s="41"/>
      <c r="C95" s="109"/>
      <c r="D95" s="44">
        <f t="shared" ref="D95:D100" si="28">IF(B95="",C95,B95)</f>
        <v>0</v>
      </c>
    </row>
    <row r="96" spans="1:12">
      <c r="A96" s="40" t="s">
        <v>320</v>
      </c>
      <c r="B96" s="41"/>
      <c r="C96" s="109"/>
      <c r="D96" s="44">
        <f t="shared" si="28"/>
        <v>0</v>
      </c>
    </row>
    <row r="97" spans="1:12">
      <c r="A97" s="40"/>
      <c r="B97" s="41"/>
      <c r="C97" s="109"/>
      <c r="D97" s="44">
        <f t="shared" si="28"/>
        <v>0</v>
      </c>
    </row>
    <row r="98" spans="1:12">
      <c r="A98" s="40"/>
      <c r="B98" s="41"/>
      <c r="C98" s="109"/>
      <c r="D98" s="44">
        <f t="shared" si="28"/>
        <v>0</v>
      </c>
    </row>
    <row r="99" spans="1:12">
      <c r="A99" s="40"/>
      <c r="B99" s="41"/>
      <c r="C99" s="109"/>
      <c r="D99" s="44">
        <f t="shared" si="28"/>
        <v>0</v>
      </c>
    </row>
    <row r="100" spans="1:12" ht="15" customHeight="1">
      <c r="A100" s="40" t="s">
        <v>166</v>
      </c>
      <c r="B100" s="41"/>
      <c r="C100" s="109"/>
      <c r="D100" s="44">
        <f t="shared" si="28"/>
        <v>0</v>
      </c>
      <c r="G100" t="s">
        <v>321</v>
      </c>
    </row>
    <row r="101" spans="1:12">
      <c r="C101" s="109"/>
      <c r="D101" s="38">
        <f>SUM(D93:D100)</f>
        <v>688522.86638619483</v>
      </c>
    </row>
    <row r="102" spans="1:12">
      <c r="A102" s="29" t="s">
        <v>322</v>
      </c>
      <c r="B102" s="59"/>
      <c r="C102" s="113"/>
      <c r="D102" s="59">
        <f>D91+D101</f>
        <v>2059981.7422489147</v>
      </c>
    </row>
    <row r="104" spans="1:12">
      <c r="A104" s="39"/>
      <c r="B104" s="38"/>
      <c r="C104" s="109"/>
      <c r="D104" s="38"/>
      <c r="E104" s="38"/>
      <c r="F104" s="38"/>
      <c r="G104" s="38"/>
    </row>
    <row r="105" spans="1:12" ht="15.9">
      <c r="A105" s="43" t="s">
        <v>57</v>
      </c>
      <c r="B105" s="43"/>
      <c r="C105" s="105"/>
      <c r="E105" s="43"/>
    </row>
    <row r="106" spans="1:12" ht="15.9">
      <c r="B106" s="43"/>
      <c r="C106" s="105"/>
      <c r="E106" s="43"/>
    </row>
    <row r="107" spans="1:12" ht="15.9">
      <c r="A107" s="39" t="s">
        <v>323</v>
      </c>
      <c r="B107" t="s">
        <v>311</v>
      </c>
      <c r="C107" s="105"/>
      <c r="E107" t="s">
        <v>324</v>
      </c>
    </row>
    <row r="108" spans="1:12">
      <c r="A108" t="str">
        <f t="shared" ref="A108:A127" si="29">IF(A28="","",A28)</f>
        <v>General practitioner</v>
      </c>
      <c r="B108" s="41"/>
      <c r="C108" s="108">
        <f t="shared" ref="C108:C127" si="30">H28*I28</f>
        <v>835931.02740209026</v>
      </c>
      <c r="D108" s="44">
        <f>IF(B108="",C108,B108)</f>
        <v>835931.02740209026</v>
      </c>
      <c r="E108" cm="1">
        <f t="array" ref="E108">_xlfn.XLOOKUP(A108,$A$54:$A$67,{1;1;1;1;1;1;1;1;1;1;1;1;1;1},0)</f>
        <v>1</v>
      </c>
      <c r="L108" s="44"/>
    </row>
    <row r="109" spans="1:12">
      <c r="A109" t="str">
        <f t="shared" si="29"/>
        <v>Nurse practitioner</v>
      </c>
      <c r="B109" s="41"/>
      <c r="C109" s="108">
        <f t="shared" si="30"/>
        <v>0</v>
      </c>
      <c r="D109" s="44">
        <f t="shared" ref="D109:D127" si="31">IF(B109="",C109,B109)</f>
        <v>0</v>
      </c>
      <c r="E109" cm="1">
        <f t="array" ref="E109">_xlfn.XLOOKUP(A109,$A$54:$A$67,{1;1;1;1;1;1;1;1;1;1;1;1;1;1},0)</f>
        <v>1</v>
      </c>
    </row>
    <row r="110" spans="1:12">
      <c r="A110" t="str">
        <f t="shared" si="29"/>
        <v>Nurse</v>
      </c>
      <c r="B110" s="41"/>
      <c r="C110" s="108">
        <f t="shared" si="30"/>
        <v>211892.05516483818</v>
      </c>
      <c r="D110" s="44">
        <f t="shared" si="31"/>
        <v>211892.05516483818</v>
      </c>
      <c r="E110" cm="1">
        <f t="array" ref="E110">_xlfn.XLOOKUP(A110,$A$54:$A$67,{1;1;1;1;1;1;1;1;1;1;1;1;1;1},0)</f>
        <v>1</v>
      </c>
    </row>
    <row r="111" spans="1:12">
      <c r="A111" t="str">
        <f t="shared" si="29"/>
        <v>Healthcare Assistant</v>
      </c>
      <c r="B111" s="41"/>
      <c r="C111" s="108">
        <f t="shared" si="30"/>
        <v>87009.327645812344</v>
      </c>
      <c r="D111" s="44">
        <f t="shared" si="31"/>
        <v>87009.327645812344</v>
      </c>
      <c r="E111" cm="1">
        <f t="array" ref="E111">_xlfn.XLOOKUP(A111,$A$54:$A$67,{1;1;1;1;1;1;1;1;1;1;1;1;1;1},0)</f>
        <v>0</v>
      </c>
    </row>
    <row r="112" spans="1:12">
      <c r="A112" t="str">
        <f t="shared" si="29"/>
        <v>Clinical Assistant</v>
      </c>
      <c r="B112" s="41"/>
      <c r="C112" s="108">
        <f t="shared" si="30"/>
        <v>0</v>
      </c>
      <c r="D112" s="44">
        <f t="shared" si="31"/>
        <v>0</v>
      </c>
      <c r="E112" cm="1">
        <f t="array" ref="E112">_xlfn.XLOOKUP(A112,$A$54:$A$67,{1;1;1;1;1;1;1;1;1;1;1;1;1;1},0)</f>
        <v>0</v>
      </c>
    </row>
    <row r="113" spans="1:7">
      <c r="A113" t="str">
        <f t="shared" si="29"/>
        <v>Reception / Administrator</v>
      </c>
      <c r="B113" s="41"/>
      <c r="C113" s="108">
        <f t="shared" si="30"/>
        <v>137877.19184723069</v>
      </c>
      <c r="D113" s="44">
        <f t="shared" si="31"/>
        <v>137877.19184723069</v>
      </c>
      <c r="E113" cm="1">
        <f t="array" ref="E113">_xlfn.XLOOKUP(A113,$A$54:$A$67,{1;1;1;1;1;1;1;1;1;1;1;1;1;1},0)</f>
        <v>0</v>
      </c>
    </row>
    <row r="114" spans="1:7">
      <c r="A114" t="str">
        <f t="shared" si="29"/>
        <v>Practice Manager</v>
      </c>
      <c r="B114" s="41"/>
      <c r="C114" s="108">
        <f t="shared" si="30"/>
        <v>65064.600000000006</v>
      </c>
      <c r="D114" s="44">
        <f t="shared" si="31"/>
        <v>65064.600000000006</v>
      </c>
      <c r="E114" cm="1">
        <f t="array" ref="E114">_xlfn.XLOOKUP(A114,$A$54:$A$67,{1;1;1;1;1;1;1;1;1;1;1;1;1;1},0)</f>
        <v>0</v>
      </c>
    </row>
    <row r="115" spans="1:7">
      <c r="A115" t="str">
        <f t="shared" si="29"/>
        <v>Paramedic, extended care</v>
      </c>
      <c r="B115" s="41"/>
      <c r="C115" s="108">
        <f t="shared" si="30"/>
        <v>0</v>
      </c>
      <c r="D115" s="44">
        <f t="shared" si="31"/>
        <v>0</v>
      </c>
      <c r="E115" cm="1">
        <f t="array" ref="E115">_xlfn.XLOOKUP(A115,$A$54:$A$67,{1;1;1;1;1;1;1;1;1;1;1;1;1;1},0)</f>
        <v>1</v>
      </c>
    </row>
    <row r="116" spans="1:7">
      <c r="A116" t="str">
        <f t="shared" si="29"/>
        <v>Pharmacist</v>
      </c>
      <c r="B116" s="41"/>
      <c r="C116" s="108">
        <f t="shared" si="30"/>
        <v>0</v>
      </c>
      <c r="D116" s="44">
        <f t="shared" si="31"/>
        <v>0</v>
      </c>
      <c r="E116" cm="1">
        <f t="array" ref="E116">_xlfn.XLOOKUP(A116,$A$54:$A$67,{1;1;1;1;1;1;1;1;1;1;1;1;1;1},0)</f>
        <v>1</v>
      </c>
    </row>
    <row r="117" spans="1:7">
      <c r="A117" t="str">
        <f t="shared" si="29"/>
        <v>Podiatrist</v>
      </c>
      <c r="B117" s="41"/>
      <c r="C117" s="108">
        <f t="shared" si="30"/>
        <v>0</v>
      </c>
      <c r="D117" s="44">
        <f t="shared" si="31"/>
        <v>0</v>
      </c>
      <c r="E117" cm="1">
        <f t="array" ref="E117">_xlfn.XLOOKUP(A117,$A$54:$A$67,{1;1;1;1;1;1;1;1;1;1;1;1;1;1},0)</f>
        <v>1</v>
      </c>
    </row>
    <row r="118" spans="1:7">
      <c r="A118" t="str">
        <f t="shared" si="29"/>
        <v>Physiotherapist</v>
      </c>
      <c r="B118" s="41"/>
      <c r="C118" s="108">
        <f t="shared" si="30"/>
        <v>0</v>
      </c>
      <c r="D118" s="44">
        <f t="shared" si="31"/>
        <v>0</v>
      </c>
      <c r="E118" cm="1">
        <f t="array" ref="E118">_xlfn.XLOOKUP(A118,$A$54:$A$67,{1;1;1;1;1;1;1;1;1;1;1;1;1;1},0)</f>
        <v>1</v>
      </c>
    </row>
    <row r="119" spans="1:7">
      <c r="A119" t="str">
        <f t="shared" si="29"/>
        <v>Social Worker</v>
      </c>
      <c r="B119" s="41"/>
      <c r="C119" s="108">
        <f t="shared" si="30"/>
        <v>0</v>
      </c>
      <c r="D119" s="44">
        <f t="shared" si="31"/>
        <v>0</v>
      </c>
      <c r="E119" cm="1">
        <f t="array" ref="E119">_xlfn.XLOOKUP(A119,$A$54:$A$67,{1;1;1;1;1;1;1;1;1;1;1;1;1;1},0)</f>
        <v>1</v>
      </c>
    </row>
    <row r="120" spans="1:7">
      <c r="A120" t="str">
        <f t="shared" si="29"/>
        <v>Health Improvement Practitioner (HIP)</v>
      </c>
      <c r="B120" s="41"/>
      <c r="C120" s="108">
        <f t="shared" si="30"/>
        <v>0</v>
      </c>
      <c r="D120" s="44">
        <f t="shared" si="31"/>
        <v>0</v>
      </c>
      <c r="E120" cm="1">
        <f t="array" ref="E120">_xlfn.XLOOKUP(A120,$A$54:$A$67,{1;1;1;1;1;1;1;1;1;1;1;1;1;1},0)</f>
        <v>1</v>
      </c>
    </row>
    <row r="121" spans="1:7">
      <c r="A121" t="str">
        <f t="shared" si="29"/>
        <v>Health Coach</v>
      </c>
      <c r="B121" s="41"/>
      <c r="C121" s="108">
        <f t="shared" si="30"/>
        <v>0</v>
      </c>
      <c r="D121" s="44">
        <f t="shared" si="31"/>
        <v>0</v>
      </c>
      <c r="E121" cm="1">
        <f t="array" ref="E121">_xlfn.XLOOKUP(A121,$A$54:$A$67,{1;1;1;1;1;1;1;1;1;1;1;1;1;1},0)</f>
        <v>1</v>
      </c>
    </row>
    <row r="122" spans="1:7">
      <c r="A122" t="str">
        <f t="shared" si="29"/>
        <v>Kaiāwhina / Community health worker</v>
      </c>
      <c r="B122" s="41"/>
      <c r="C122" s="108">
        <f t="shared" si="30"/>
        <v>0</v>
      </c>
      <c r="D122" s="44">
        <f t="shared" si="31"/>
        <v>0</v>
      </c>
      <c r="E122" cm="1">
        <f t="array" ref="E122">_xlfn.XLOOKUP(A122,$A$54:$A$67,{1;1;1;1;1;1;1;1;1;1;1;1;1;1},0)</f>
        <v>0</v>
      </c>
    </row>
    <row r="123" spans="1:7">
      <c r="A123" t="str">
        <f t="shared" si="29"/>
        <v>Care coordinator</v>
      </c>
      <c r="B123" s="41"/>
      <c r="C123" s="108">
        <f t="shared" si="30"/>
        <v>0</v>
      </c>
      <c r="D123" s="44">
        <f t="shared" si="31"/>
        <v>0</v>
      </c>
      <c r="E123" cm="1">
        <f t="array" ref="E123">_xlfn.XLOOKUP(A123,$A$54:$A$67,{1;1;1;1;1;1;1;1;1;1;1;1;1;1},0)</f>
        <v>1</v>
      </c>
    </row>
    <row r="124" spans="1:7">
      <c r="A124" t="str">
        <f t="shared" si="29"/>
        <v>new role</v>
      </c>
      <c r="B124" s="41"/>
      <c r="C124" s="108">
        <f t="shared" si="30"/>
        <v>0</v>
      </c>
      <c r="D124" s="44">
        <f t="shared" si="31"/>
        <v>0</v>
      </c>
      <c r="E124" cm="1">
        <f t="array" ref="E124">_xlfn.XLOOKUP(A124,$A$54:$A$67,{1;1;1;1;1;1;1;1;1;1;1;1;1;1},0)</f>
        <v>1</v>
      </c>
    </row>
    <row r="125" spans="1:7">
      <c r="A125" t="str">
        <f t="shared" si="29"/>
        <v/>
      </c>
      <c r="B125" s="41"/>
      <c r="C125" s="108">
        <f t="shared" si="30"/>
        <v>0</v>
      </c>
      <c r="D125" s="44">
        <f t="shared" si="31"/>
        <v>0</v>
      </c>
      <c r="E125" cm="1">
        <f t="array" ref="E125">_xlfn.XLOOKUP(A125,$A$54:$A$67,{1;1;1;1;1;1;1;1;1;1;1;1;1;1},0)</f>
        <v>0</v>
      </c>
    </row>
    <row r="126" spans="1:7">
      <c r="A126" t="str">
        <f t="shared" si="29"/>
        <v/>
      </c>
      <c r="B126" s="41"/>
      <c r="C126" s="108">
        <f t="shared" si="30"/>
        <v>0</v>
      </c>
      <c r="D126" s="44">
        <f t="shared" si="31"/>
        <v>0</v>
      </c>
      <c r="E126" cm="1">
        <f t="array" ref="E126">_xlfn.XLOOKUP(A126,$A$54:$A$67,{1;1;1;1;1;1;1;1;1;1;1;1;1;1},0)</f>
        <v>0</v>
      </c>
    </row>
    <row r="127" spans="1:7">
      <c r="A127" t="str">
        <f t="shared" si="29"/>
        <v/>
      </c>
      <c r="B127" s="41"/>
      <c r="C127" s="108">
        <f t="shared" si="30"/>
        <v>0</v>
      </c>
      <c r="D127" s="44">
        <f t="shared" si="31"/>
        <v>0</v>
      </c>
      <c r="E127" cm="1">
        <f t="array" ref="E127">_xlfn.XLOOKUP(A127,$A$54:$A$67,{1;1;1;1;1;1;1;1;1;1;1;1;1;1},0)</f>
        <v>0</v>
      </c>
    </row>
    <row r="128" spans="1:7" ht="15.9">
      <c r="A128" t="s">
        <v>325</v>
      </c>
      <c r="B128" s="41"/>
      <c r="C128" s="108">
        <f>SUM(D108:D127)*3%</f>
        <v>40133.226061799149</v>
      </c>
      <c r="D128" s="44">
        <f>IF(B128="",C128,B128)</f>
        <v>40133.226061799149</v>
      </c>
      <c r="E128" s="43"/>
      <c r="G128" t="s">
        <v>326</v>
      </c>
    </row>
    <row r="129" spans="1:7" ht="15.9">
      <c r="A129" t="s">
        <v>320</v>
      </c>
      <c r="B129" s="41"/>
      <c r="C129" s="108">
        <f>SUM(D108:D127)*1.5%</f>
        <v>20066.613030899574</v>
      </c>
      <c r="D129" s="44">
        <f t="shared" ref="D129" si="32">IF(B129="",C129,B129)</f>
        <v>20066.613030899574</v>
      </c>
      <c r="E129" s="43"/>
      <c r="G129" s="95">
        <f>SUM(D128:D129)/SUM(D108:D127)</f>
        <v>4.4999999999999998E-2</v>
      </c>
    </row>
    <row r="130" spans="1:7" ht="15.9">
      <c r="B130" s="43"/>
      <c r="C130" s="105"/>
      <c r="D130" s="44">
        <f>SUM(D108:D129)</f>
        <v>1397974.0411526703</v>
      </c>
      <c r="E130" s="43"/>
    </row>
    <row r="131" spans="1:7" ht="15.9">
      <c r="A131" s="46"/>
      <c r="B131" s="43"/>
      <c r="C131" s="105"/>
      <c r="D131" s="44"/>
      <c r="E131" s="43"/>
    </row>
    <row r="132" spans="1:7" ht="15.9">
      <c r="A132" s="39" t="s">
        <v>327</v>
      </c>
      <c r="B132" t="s">
        <v>311</v>
      </c>
      <c r="C132" s="105"/>
      <c r="E132" s="42"/>
    </row>
    <row r="133" spans="1:7">
      <c r="A133" s="40" t="s">
        <v>328</v>
      </c>
      <c r="B133" s="41"/>
      <c r="C133" s="109"/>
      <c r="D133" s="44">
        <f t="shared" ref="D133:D137" si="33">IF(B133="",C133,B133)</f>
        <v>0</v>
      </c>
    </row>
    <row r="134" spans="1:7">
      <c r="A134" s="40" t="s">
        <v>329</v>
      </c>
      <c r="B134" s="41"/>
      <c r="C134" s="109"/>
      <c r="D134" s="44">
        <f t="shared" si="33"/>
        <v>0</v>
      </c>
    </row>
    <row r="135" spans="1:7">
      <c r="A135" s="40" t="s">
        <v>330</v>
      </c>
      <c r="B135" s="41"/>
      <c r="C135" s="109"/>
      <c r="D135" s="44">
        <f t="shared" si="33"/>
        <v>0</v>
      </c>
    </row>
    <row r="136" spans="1:7">
      <c r="A136" s="40" t="s">
        <v>331</v>
      </c>
      <c r="B136" s="41"/>
      <c r="C136" s="109"/>
      <c r="D136" s="44">
        <f t="shared" si="33"/>
        <v>0</v>
      </c>
    </row>
    <row r="137" spans="1:7">
      <c r="A137" s="40"/>
      <c r="B137" s="41"/>
      <c r="C137" s="109"/>
      <c r="D137" s="44">
        <f t="shared" si="33"/>
        <v>0</v>
      </c>
    </row>
    <row r="138" spans="1:7">
      <c r="A138" s="40"/>
      <c r="B138" s="41"/>
      <c r="C138" s="109"/>
      <c r="D138" s="44">
        <f>IF(B138="",C138,B138)</f>
        <v>0</v>
      </c>
    </row>
    <row r="139" spans="1:7">
      <c r="A139" s="40"/>
      <c r="B139" s="41"/>
      <c r="C139" s="109"/>
      <c r="D139" s="44">
        <f>IF(B139="",C139,B139)</f>
        <v>0</v>
      </c>
    </row>
    <row r="140" spans="1:7">
      <c r="A140" s="40" t="s">
        <v>166</v>
      </c>
      <c r="B140" s="41"/>
      <c r="C140" s="109">
        <f>Defaults!C146*used_esu</f>
        <v>298917.61650000006</v>
      </c>
      <c r="D140" s="44">
        <f>IF(B140="",C140,B140)</f>
        <v>298917.61650000006</v>
      </c>
    </row>
    <row r="141" spans="1:7">
      <c r="C141" s="47"/>
      <c r="D141" s="44">
        <f>SUM(D133:D140)</f>
        <v>298917.61650000006</v>
      </c>
    </row>
    <row r="142" spans="1:7">
      <c r="A142" s="39" t="s">
        <v>332</v>
      </c>
      <c r="C142" s="47"/>
    </row>
    <row r="143" spans="1:7">
      <c r="A143" s="296" t="s">
        <v>333</v>
      </c>
      <c r="B143" s="41"/>
      <c r="C143" s="109">
        <f>Defaults!C145*used_esu</f>
        <v>91524.203999999998</v>
      </c>
      <c r="D143" s="44">
        <f>IF(B143="",C143,B143)</f>
        <v>91524.203999999998</v>
      </c>
    </row>
    <row r="144" spans="1:7">
      <c r="A144" s="40" t="s">
        <v>334</v>
      </c>
      <c r="B144" s="41"/>
      <c r="C144" s="109"/>
      <c r="D144" s="44">
        <f t="shared" ref="D144:D146" si="34">IF(B144="",C144,B144)</f>
        <v>0</v>
      </c>
    </row>
    <row r="145" spans="1:11">
      <c r="A145" s="40" t="s">
        <v>335</v>
      </c>
      <c r="B145" s="41"/>
      <c r="C145" s="109"/>
      <c r="D145" s="44">
        <f t="shared" si="34"/>
        <v>0</v>
      </c>
    </row>
    <row r="146" spans="1:11">
      <c r="A146" s="40"/>
      <c r="B146" s="41"/>
      <c r="C146" s="109"/>
      <c r="D146" s="44">
        <f t="shared" si="34"/>
        <v>0</v>
      </c>
    </row>
    <row r="147" spans="1:11">
      <c r="A147" s="40"/>
      <c r="B147" s="41"/>
      <c r="C147" s="109"/>
      <c r="D147" s="44">
        <f>IF(B147="",C147,B147)</f>
        <v>0</v>
      </c>
    </row>
    <row r="148" spans="1:11">
      <c r="A148" s="40"/>
      <c r="B148" s="41"/>
      <c r="C148" s="109"/>
      <c r="D148" s="44">
        <f>IF(B148="",C148,B148)</f>
        <v>0</v>
      </c>
    </row>
    <row r="149" spans="1:11">
      <c r="A149" s="40"/>
      <c r="B149" s="41"/>
      <c r="C149" s="109"/>
      <c r="D149" s="44">
        <f>IF(B149="",C149,B149)</f>
        <v>0</v>
      </c>
    </row>
    <row r="150" spans="1:11">
      <c r="C150" s="47"/>
      <c r="D150" s="44">
        <f>SUM(D143:D149)</f>
        <v>91524.203999999998</v>
      </c>
    </row>
    <row r="151" spans="1:11">
      <c r="A151" s="29" t="s">
        <v>206</v>
      </c>
      <c r="B151" s="57"/>
      <c r="C151" s="115"/>
      <c r="D151" s="59">
        <f>D130+D141+D150</f>
        <v>1788415.8616526702</v>
      </c>
      <c r="E151" s="57"/>
    </row>
    <row r="152" spans="1:11">
      <c r="A152" s="39"/>
      <c r="C152" s="47"/>
      <c r="D152" s="38"/>
    </row>
    <row r="153" spans="1:11">
      <c r="A153" s="57" t="s">
        <v>89</v>
      </c>
      <c r="B153" s="57"/>
      <c r="C153" s="115"/>
      <c r="D153" s="59">
        <f>D102-D151</f>
        <v>271565.88059624447</v>
      </c>
      <c r="E153" s="116">
        <f>D153/D102</f>
        <v>0.13182926577774989</v>
      </c>
    </row>
    <row r="154" spans="1:11">
      <c r="C154" s="47"/>
    </row>
    <row r="155" spans="1:11">
      <c r="A155" s="29" t="s">
        <v>336</v>
      </c>
      <c r="C155" s="47"/>
    </row>
    <row r="156" spans="1:11">
      <c r="B156" t="s">
        <v>337</v>
      </c>
      <c r="C156" s="47"/>
      <c r="D156" t="s">
        <v>338</v>
      </c>
      <c r="E156" t="s">
        <v>339</v>
      </c>
    </row>
    <row r="157" spans="1:11">
      <c r="A157" t="s">
        <v>340</v>
      </c>
      <c r="C157" s="47"/>
      <c r="D157" s="31">
        <f>D101/SUM(H54:H67)</f>
        <v>32.78680316124737</v>
      </c>
      <c r="E157" s="19">
        <f>D101/SUMPRODUCT(H54:H67,I54:I67)</f>
        <v>2.1857868774164917</v>
      </c>
      <c r="F157" t="s">
        <v>341</v>
      </c>
      <c r="K157" s="19"/>
    </row>
    <row r="158" spans="1:11">
      <c r="A158" s="101" t="s">
        <v>342</v>
      </c>
      <c r="B158" s="19">
        <f>D91/used_esu</f>
        <v>274.29177517254396</v>
      </c>
      <c r="C158" s="47"/>
      <c r="E158" s="19"/>
      <c r="F158" t="s">
        <v>343</v>
      </c>
      <c r="K158" s="19"/>
    </row>
    <row r="159" spans="1:11">
      <c r="A159" s="22"/>
      <c r="C159" s="47"/>
      <c r="D159" s="19"/>
      <c r="E159" s="19"/>
      <c r="K159" s="19"/>
    </row>
    <row r="160" spans="1:11">
      <c r="A160" t="s">
        <v>344</v>
      </c>
      <c r="B160" t="s">
        <v>337</v>
      </c>
      <c r="C160" s="47"/>
      <c r="D160" t="s">
        <v>338</v>
      </c>
      <c r="E160" t="s">
        <v>345</v>
      </c>
      <c r="F160" s="31"/>
    </row>
    <row r="161" spans="1:11">
      <c r="A161" s="22" t="s">
        <v>346</v>
      </c>
      <c r="C161" s="47"/>
      <c r="D161" s="31">
        <f>(SUMPRODUCT(D108:D127,E108:E127)+SUMPRODUCT(D108:D127,E108:E127)/SUM(D108:D127)*SUM(D128:D129))/SUM(H54:H67)</f>
        <v>52.141672442020962</v>
      </c>
      <c r="E161" s="19">
        <f>D161/(SUMPRODUCT($H$54:$H$67,$I$54:$I$67)/SUM($H$54:$H$67))</f>
        <v>3.4761114961347306</v>
      </c>
      <c r="F161" t="s">
        <v>341</v>
      </c>
      <c r="K161" s="19"/>
    </row>
    <row r="162" spans="1:11">
      <c r="A162" s="22" t="s">
        <v>347</v>
      </c>
      <c r="C162" s="47"/>
      <c r="D162" s="19">
        <f>(D130+D141)/SUM(H54:H67)-D161</f>
        <v>28.662692208106193</v>
      </c>
      <c r="E162" s="19">
        <f>D162/(SUMPRODUCT($H$54:$H$67,$I$54:$I$67)/SUM($H$54:$H$67))</f>
        <v>1.9108461472070795</v>
      </c>
      <c r="F162" t="s">
        <v>343</v>
      </c>
      <c r="K162" s="19"/>
    </row>
    <row r="163" spans="1:11">
      <c r="A163" s="22"/>
      <c r="C163" s="47"/>
      <c r="D163" s="19">
        <f>SUM(D161:D162)</f>
        <v>80.804364650127155</v>
      </c>
      <c r="E163" s="19">
        <f>SUM(E161:E162)</f>
        <v>5.3869576433418098</v>
      </c>
      <c r="F163" s="19"/>
      <c r="K163" s="19"/>
    </row>
    <row r="164" spans="1:11">
      <c r="A164" s="101" t="s">
        <v>348</v>
      </c>
      <c r="B164" s="19">
        <f>D150/used_esu</f>
        <v>18.304840800000001</v>
      </c>
      <c r="C164" s="47"/>
      <c r="D164" s="19"/>
      <c r="E164" s="19"/>
      <c r="F164" s="19"/>
    </row>
    <row r="165" spans="1:11">
      <c r="A165" s="101"/>
      <c r="B165" s="19"/>
      <c r="C165" s="47"/>
      <c r="D165" s="19"/>
      <c r="E165" s="19"/>
    </row>
    <row r="166" spans="1:11">
      <c r="A166" s="101"/>
      <c r="B166" s="19"/>
      <c r="C166" s="47"/>
      <c r="D166" s="19"/>
      <c r="E166" s="19"/>
    </row>
  </sheetData>
  <sheetProtection sheet="1" objects="1" scenarios="1"/>
  <protectedRanges>
    <protectedRange sqref="A44:A47 B54:D67 A65:A67 B83 A94:A100 B93:B100 B108:B129 A133:B140 A143:B149 P12:U17 B28:D47 B12:G17 I12:N17 A88:B90 A84:B87" name="UserInputs"/>
  </protectedRanges>
  <dataValidations count="1">
    <dataValidation type="list" allowBlank="1" showInputMessage="1" showErrorMessage="1" sqref="A57:A67" xr:uid="{4E4F96CF-2FD4-41D6-B1F1-0FFAAA991814}">
      <formula1>$A$108:$A$127</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1DD2-53DE-40F9-B895-E531AC6DB6B7}">
  <sheetPr>
    <tabColor rgb="FF9364AC"/>
  </sheetPr>
  <dimension ref="A1:BV636"/>
  <sheetViews>
    <sheetView zoomScale="85" zoomScaleNormal="85" workbookViewId="0">
      <selection activeCell="A538" sqref="A538"/>
    </sheetView>
  </sheetViews>
  <sheetFormatPr defaultRowHeight="14.6" outlineLevelRow="1"/>
  <cols>
    <col min="1" max="1" width="44.53515625" customWidth="1"/>
    <col min="2" max="3" width="13.53515625" customWidth="1"/>
    <col min="4" max="19" width="12.53515625" customWidth="1"/>
    <col min="20" max="21" width="9" bestFit="1" customWidth="1"/>
    <col min="23" max="24" width="9.07421875" bestFit="1" customWidth="1"/>
    <col min="25" max="25" width="11.4609375" customWidth="1"/>
  </cols>
  <sheetData>
    <row r="1" spans="1:19" ht="26.15">
      <c r="A1" s="14" t="s">
        <v>349</v>
      </c>
      <c r="B1" s="12"/>
      <c r="C1" s="12"/>
      <c r="D1" s="12"/>
      <c r="E1" s="12"/>
      <c r="F1" s="12"/>
      <c r="G1" s="12"/>
      <c r="H1" s="12"/>
      <c r="I1" s="12"/>
    </row>
    <row r="2" spans="1:19" ht="15.9">
      <c r="A2" s="17"/>
      <c r="B2" s="13"/>
      <c r="C2" s="13"/>
      <c r="D2" s="13"/>
      <c r="E2" s="13"/>
      <c r="F2" s="13"/>
      <c r="G2" s="13"/>
      <c r="H2" s="13"/>
      <c r="I2" s="13"/>
    </row>
    <row r="3" spans="1:19">
      <c r="A3" t="s">
        <v>261</v>
      </c>
    </row>
    <row r="4" spans="1:19">
      <c r="A4" t="s">
        <v>262</v>
      </c>
    </row>
    <row r="6" spans="1:19" s="85" customFormat="1" ht="18.45">
      <c r="A6" s="84" t="s">
        <v>350</v>
      </c>
      <c r="B6" s="84"/>
      <c r="C6" s="84"/>
      <c r="D6" s="84"/>
      <c r="E6" s="84"/>
      <c r="F6" s="84"/>
      <c r="G6" s="84"/>
      <c r="H6" s="84"/>
      <c r="I6" s="84"/>
      <c r="J6" s="84"/>
      <c r="K6" s="84"/>
      <c r="L6" s="84"/>
      <c r="M6" s="84"/>
      <c r="N6" s="84"/>
      <c r="O6" s="84"/>
      <c r="P6" s="84"/>
      <c r="Q6" s="84"/>
      <c r="R6" s="84"/>
      <c r="S6" s="84"/>
    </row>
    <row r="7" spans="1:19">
      <c r="E7" s="2"/>
      <c r="F7" s="50"/>
    </row>
    <row r="8" spans="1:19" ht="18.899999999999999" thickBot="1">
      <c r="A8" s="128" t="s">
        <v>351</v>
      </c>
      <c r="B8" s="119"/>
      <c r="C8" s="119"/>
      <c r="D8" s="119"/>
      <c r="E8" s="119"/>
      <c r="F8" s="119"/>
      <c r="G8" s="128"/>
      <c r="H8" s="119"/>
      <c r="I8" s="119"/>
      <c r="J8" s="119"/>
      <c r="K8" s="119"/>
      <c r="L8" s="119"/>
      <c r="M8" s="119"/>
      <c r="N8" s="119"/>
      <c r="O8" s="119"/>
      <c r="P8" s="119"/>
      <c r="Q8" s="119"/>
      <c r="R8" s="119"/>
      <c r="S8" s="119"/>
    </row>
    <row r="9" spans="1:19" ht="18.45">
      <c r="A9" s="182"/>
      <c r="G9" s="182"/>
    </row>
    <row r="10" spans="1:19" ht="18.45">
      <c r="A10" s="182" t="s">
        <v>28</v>
      </c>
    </row>
    <row r="11" spans="1:19" ht="15.9">
      <c r="B11" s="180" t="s">
        <v>264</v>
      </c>
      <c r="C11" s="115" t="s">
        <v>73</v>
      </c>
      <c r="D11" s="180" t="s">
        <v>266</v>
      </c>
      <c r="E11" s="126"/>
    </row>
    <row r="12" spans="1:19">
      <c r="A12" s="39" t="s">
        <v>352</v>
      </c>
    </row>
    <row r="13" spans="1:19">
      <c r="A13" t="s">
        <v>353</v>
      </c>
      <c r="B13" s="34"/>
      <c r="C13" s="123">
        <v>0</v>
      </c>
      <c r="D13" s="30">
        <f>IF(B13="",C13,B13)</f>
        <v>0</v>
      </c>
    </row>
    <row r="14" spans="1:19">
      <c r="A14" t="s">
        <v>354</v>
      </c>
      <c r="B14" s="34"/>
      <c r="C14" s="123">
        <v>0</v>
      </c>
      <c r="D14" s="30">
        <f>IF(B14="",C14,B14)</f>
        <v>0</v>
      </c>
    </row>
    <row r="15" spans="1:19">
      <c r="A15" t="s">
        <v>355</v>
      </c>
      <c r="B15" s="195"/>
      <c r="C15" s="108">
        <f>D14*SUMPRODUCT(C66:C67,E66:E67)/SUM(C66:C67)</f>
        <v>0</v>
      </c>
      <c r="D15" s="44">
        <f>IF(B15="",C15,B15)</f>
        <v>0</v>
      </c>
    </row>
    <row r="16" spans="1:19">
      <c r="A16" t="s">
        <v>356</v>
      </c>
      <c r="B16" s="35"/>
      <c r="C16" s="111">
        <f>_xlfn.XLOOKUP(input_complexity,Defaults!$B$46:$D$46,Defaults!$B$74:$D$74)</f>
        <v>0.3</v>
      </c>
      <c r="D16" s="32">
        <f>IF(B16="",C16,B16)</f>
        <v>0.3</v>
      </c>
    </row>
    <row r="17" spans="1:6">
      <c r="A17" t="s">
        <v>357</v>
      </c>
      <c r="B17" s="34"/>
      <c r="C17" s="196">
        <f>D25</f>
        <v>6</v>
      </c>
      <c r="D17" s="30">
        <f>IF(B17="",C17,B17)</f>
        <v>6</v>
      </c>
    </row>
    <row r="19" spans="1:6">
      <c r="A19" s="39" t="s">
        <v>358</v>
      </c>
    </row>
    <row r="20" spans="1:6">
      <c r="A20" t="s">
        <v>359</v>
      </c>
      <c r="B20">
        <f>input_wkly_triage_calls</f>
        <v>0</v>
      </c>
      <c r="C20" s="48">
        <f>_xlfn.XLOOKUP(input_complexity,Defaults!$B$46:$D$46,Defaults!$B$58:$D$58)</f>
        <v>118.58974358974359</v>
      </c>
      <c r="D20" s="30">
        <f>IF(input_wkly_triage_calls="",C20,B20)</f>
        <v>118.58974358974359</v>
      </c>
    </row>
    <row r="21" spans="1:6">
      <c r="A21" t="s">
        <v>356</v>
      </c>
      <c r="B21" s="144">
        <f>input_pct_triaged_by_gp</f>
        <v>0</v>
      </c>
      <c r="C21" s="110">
        <f>_xlfn.XLOOKUP(input_complexity,Defaults!$B$46:$D$46,Defaults!$B$74:$D$74)</f>
        <v>0.3</v>
      </c>
      <c r="D21" s="32">
        <f>IF(input_pct_triaged_by_gp="",C21,B21)</f>
        <v>0.3</v>
      </c>
    </row>
    <row r="23" spans="1:6">
      <c r="A23" t="s">
        <v>360</v>
      </c>
      <c r="B23" s="34"/>
      <c r="C23" s="47">
        <f>_xlfn.XLOOKUP(input_complexity,Defaults!$B$46:$D$46,Defaults!$B$72:$D$72)</f>
        <v>5</v>
      </c>
      <c r="D23" s="25">
        <f>IF(B23="",C23,B23)</f>
        <v>5</v>
      </c>
    </row>
    <row r="24" spans="1:6">
      <c r="A24" t="s">
        <v>361</v>
      </c>
      <c r="B24" s="34"/>
      <c r="C24" s="47">
        <v>1</v>
      </c>
      <c r="D24" s="25">
        <f>IF(B24="",C24,B24)</f>
        <v>1</v>
      </c>
    </row>
    <row r="25" spans="1:6">
      <c r="A25" t="s">
        <v>357</v>
      </c>
      <c r="B25" s="25">
        <f t="shared" ref="B25:C25" si="0">B23+B24</f>
        <v>0</v>
      </c>
      <c r="C25" s="196">
        <f t="shared" si="0"/>
        <v>6</v>
      </c>
      <c r="D25" s="25">
        <f>D23+D24</f>
        <v>6</v>
      </c>
    </row>
    <row r="26" spans="1:6">
      <c r="C26" s="47"/>
      <c r="D26" s="25"/>
    </row>
    <row r="27" spans="1:6">
      <c r="A27" s="25" t="s">
        <v>362</v>
      </c>
      <c r="C27" s="47"/>
      <c r="D27" s="25"/>
    </row>
    <row r="28" spans="1:6">
      <c r="A28" t="s">
        <v>363</v>
      </c>
      <c r="B28" s="19">
        <f>'Urgent unplanned'!I26</f>
        <v>0</v>
      </c>
      <c r="C28" s="107">
        <f>_xlfn.XLOOKUP(input_complexity,Defaults!$B$46:$D$46,Defaults!$B$73:$D$73,Defaults!$C$73)</f>
        <v>0</v>
      </c>
      <c r="D28" s="19">
        <f>IF('Urgent unplanned'!$I$26="",C28,B28)</f>
        <v>0</v>
      </c>
    </row>
    <row r="29" spans="1:6">
      <c r="A29" t="s">
        <v>364</v>
      </c>
      <c r="B29" s="49"/>
      <c r="C29" s="107">
        <f>_xlfn.XLOOKUP(input_vlca,Defaults!$B$108:$C$108,Defaults!$B$117:$C$117)</f>
        <v>10</v>
      </c>
      <c r="D29" s="19">
        <f>IF(B29="",C29,B29)</f>
        <v>10</v>
      </c>
    </row>
    <row r="30" spans="1:6">
      <c r="A30" t="s">
        <v>365</v>
      </c>
      <c r="B30" s="49"/>
      <c r="C30" s="107">
        <f>_xlfn.XLOOKUP(input_vlca,Defaults!$B$108:$C$108,Defaults!$B$116:$C$116)</f>
        <v>39.111545900836234</v>
      </c>
      <c r="D30" s="19">
        <f>IF(B30="",C30,B30)</f>
        <v>39.111545900836234</v>
      </c>
    </row>
    <row r="31" spans="1:6">
      <c r="C31" s="47"/>
    </row>
    <row r="32" spans="1:6" ht="15.9">
      <c r="A32" s="39" t="s">
        <v>366</v>
      </c>
      <c r="C32" s="47"/>
      <c r="F32" s="18" t="s">
        <v>367</v>
      </c>
    </row>
    <row r="33" spans="1:14">
      <c r="A33" t="s">
        <v>368</v>
      </c>
      <c r="B33" s="209"/>
      <c r="C33" s="210">
        <f>_xlfn.XLOOKUP(input_complexity,Defaults!$B$46:$D$46,Defaults!$B77:$D77)*$D$21+_xlfn.XLOOKUP(input_complexity,Defaults!$B$46:$D$46,Defaults!$B$91:$D$91)*(1-$D$21)</f>
        <v>0.26</v>
      </c>
      <c r="D33" s="95">
        <f>IF(B33="",C33,B33)</f>
        <v>0.26</v>
      </c>
      <c r="F33" t="s">
        <v>369</v>
      </c>
    </row>
    <row r="34" spans="1:14">
      <c r="A34" s="22" t="s">
        <v>370</v>
      </c>
      <c r="B34" s="209"/>
      <c r="C34" s="210">
        <f>_xlfn.XLOOKUP(input_complexity,Defaults!$B$46:$D$46,Defaults!$B78:$D78)*$D$21+_xlfn.XLOOKUP(input_complexity,Defaults!$B$46:$D$46,Defaults!$B$92:$D$92)*(1-$D$21)</f>
        <v>0.03</v>
      </c>
      <c r="D34" s="95">
        <f>IF(B34="",C34,B34)</f>
        <v>0.03</v>
      </c>
    </row>
    <row r="35" spans="1:14">
      <c r="A35" s="22" t="s">
        <v>371</v>
      </c>
      <c r="B35" s="95"/>
      <c r="C35" s="210">
        <f>1-SUM(C34:C34)</f>
        <v>0.97</v>
      </c>
      <c r="D35" s="95">
        <f>1-SUM(D34:D34)</f>
        <v>0.97</v>
      </c>
      <c r="M35" s="52" t="s">
        <v>372</v>
      </c>
    </row>
    <row r="36" spans="1:14">
      <c r="B36" s="211"/>
      <c r="C36" s="210"/>
      <c r="D36" s="211"/>
    </row>
    <row r="37" spans="1:14">
      <c r="A37" t="s">
        <v>373</v>
      </c>
      <c r="B37" s="257"/>
      <c r="C37" s="210">
        <f>1-C33-C41</f>
        <v>0.69</v>
      </c>
      <c r="D37" s="95">
        <f>1-D33-D41</f>
        <v>0.69</v>
      </c>
      <c r="I37" s="53" t="s">
        <v>368</v>
      </c>
      <c r="J37" s="21"/>
      <c r="M37" s="26"/>
    </row>
    <row r="38" spans="1:14">
      <c r="A38" s="22" t="s">
        <v>374</v>
      </c>
      <c r="B38" s="209"/>
      <c r="C38" s="210">
        <f>_xlfn.XLOOKUP(input_complexity,Defaults!$B$46:$D$46,Defaults!$B82:$D82)*$D$21+_xlfn.XLOOKUP(input_complexity,Defaults!$B$46:$D$46,Defaults!$B$96:$D$96)*(1-$D$21)</f>
        <v>9.9999999999999978E-2</v>
      </c>
      <c r="D38" s="95">
        <f>IF(B38="",C38,B38)</f>
        <v>9.9999999999999978E-2</v>
      </c>
      <c r="I38" s="198">
        <f>SUM(C66:C67)</f>
        <v>1603.3333333333333</v>
      </c>
      <c r="M38" s="52" t="s">
        <v>375</v>
      </c>
    </row>
    <row r="39" spans="1:14">
      <c r="A39" s="22" t="s">
        <v>376</v>
      </c>
      <c r="B39" s="209"/>
      <c r="C39" s="210">
        <f>1-C38</f>
        <v>0.9</v>
      </c>
      <c r="D39" s="95">
        <f>1-D38</f>
        <v>0.9</v>
      </c>
    </row>
    <row r="40" spans="1:14">
      <c r="A40" s="23"/>
      <c r="B40" s="211"/>
      <c r="C40" s="210"/>
      <c r="D40" s="95"/>
      <c r="F40" s="213" t="s">
        <v>377</v>
      </c>
      <c r="M40" s="52"/>
    </row>
    <row r="41" spans="1:14">
      <c r="A41" s="101" t="s">
        <v>378</v>
      </c>
      <c r="B41" s="209"/>
      <c r="C41" s="210">
        <f>_xlfn.XLOOKUP(input_complexity,Defaults!$B$46:$D$46,Defaults!$B$87:$D$87)*$D$21+_xlfn.XLOOKUP(input_complexity,Defaults!$B$46:$D$46,Defaults!$B$101:$D$101)*(1-$D$21)</f>
        <v>4.9999999999999996E-2</v>
      </c>
      <c r="D41" s="95">
        <f>IF(B41="",C41,B41)</f>
        <v>4.9999999999999996E-2</v>
      </c>
      <c r="M41" s="26" t="s">
        <v>376</v>
      </c>
    </row>
    <row r="42" spans="1:14">
      <c r="A42" s="23"/>
      <c r="B42" s="211"/>
      <c r="C42" s="210"/>
      <c r="D42" s="95"/>
      <c r="I42" s="53" t="s">
        <v>379</v>
      </c>
    </row>
    <row r="43" spans="1:14">
      <c r="A43" s="39" t="s">
        <v>380</v>
      </c>
      <c r="I43" s="53" t="s">
        <v>381</v>
      </c>
      <c r="M43" s="52" t="s">
        <v>374</v>
      </c>
    </row>
    <row r="44" spans="1:14">
      <c r="A44" t="s">
        <v>382</v>
      </c>
      <c r="I44" s="198">
        <f>SUM(C69:C70)</f>
        <v>4255</v>
      </c>
    </row>
    <row r="45" spans="1:14">
      <c r="A45" s="264" t="s">
        <v>383</v>
      </c>
      <c r="B45" s="209"/>
      <c r="C45" s="210">
        <f>_xlfn.XLOOKUP(input_complexity,Defaults!$B$46:$D$46,Defaults!$B$88:$D$88)*$D$21+_xlfn.XLOOKUP(input_complexity,Defaults!$B$46:$D$46,Defaults!$B$102:$D$102)*(1-$D$21)</f>
        <v>0.39400000000000002</v>
      </c>
      <c r="D45" s="95">
        <f>IF(B45="",C45,B45)</f>
        <v>0.39400000000000002</v>
      </c>
      <c r="J45" s="28"/>
      <c r="K45" s="27"/>
      <c r="L45" s="27"/>
      <c r="M45" s="27"/>
      <c r="N45" s="27"/>
    </row>
    <row r="46" spans="1:14">
      <c r="A46" s="208"/>
      <c r="B46" s="212"/>
      <c r="C46" s="212"/>
      <c r="D46" s="212"/>
      <c r="L46" s="27"/>
    </row>
    <row r="47" spans="1:14">
      <c r="M47" s="53" t="s">
        <v>384</v>
      </c>
    </row>
    <row r="48" spans="1:14">
      <c r="A48" s="39" t="s">
        <v>385</v>
      </c>
      <c r="B48" s="180"/>
      <c r="C48" s="115"/>
      <c r="D48" s="180"/>
      <c r="E48" s="180"/>
      <c r="M48" s="52"/>
    </row>
    <row r="49" spans="1:25">
      <c r="A49" s="103"/>
      <c r="B49" s="41"/>
      <c r="C49" s="149">
        <v>0</v>
      </c>
      <c r="D49" s="70">
        <f>IF(B49="",C49,B49)</f>
        <v>0</v>
      </c>
    </row>
    <row r="50" spans="1:25">
      <c r="A50" s="103"/>
      <c r="B50" s="41"/>
      <c r="C50" s="149">
        <v>0</v>
      </c>
      <c r="D50" s="70">
        <f>IF(B50="",C50,B50)</f>
        <v>0</v>
      </c>
    </row>
    <row r="51" spans="1:25">
      <c r="A51" s="103"/>
      <c r="B51" s="41"/>
      <c r="C51" s="149">
        <v>0</v>
      </c>
      <c r="D51" s="70">
        <f>IF(B51="",C51,B51)</f>
        <v>0</v>
      </c>
    </row>
    <row r="53" spans="1:25">
      <c r="A53" s="39" t="s">
        <v>386</v>
      </c>
      <c r="B53" s="180"/>
      <c r="C53" s="115"/>
      <c r="D53" s="180"/>
      <c r="E53" s="180"/>
    </row>
    <row r="54" spans="1:25">
      <c r="A54" s="186"/>
      <c r="B54" s="185"/>
      <c r="C54" s="149">
        <v>0</v>
      </c>
      <c r="D54" s="70">
        <f>IF(B54="",C54,B54)</f>
        <v>0</v>
      </c>
    </row>
    <row r="55" spans="1:25">
      <c r="A55" s="187"/>
      <c r="B55" s="185"/>
      <c r="C55" s="149">
        <v>0</v>
      </c>
      <c r="D55" s="70">
        <f>IF(B55="",C55,B55)</f>
        <v>0</v>
      </c>
    </row>
    <row r="56" spans="1:25">
      <c r="A56" s="187"/>
      <c r="B56" s="185"/>
      <c r="C56" s="149">
        <v>0</v>
      </c>
      <c r="D56" s="70">
        <f>IF(B56="",C56,B56)</f>
        <v>0</v>
      </c>
    </row>
    <row r="58" spans="1:25" ht="18.45" hidden="1" outlineLevel="1">
      <c r="A58" s="181" t="s">
        <v>387</v>
      </c>
    </row>
    <row r="59" spans="1:25" hidden="1" outlineLevel="1">
      <c r="B59" t="s">
        <v>183</v>
      </c>
      <c r="C59" t="s">
        <v>358</v>
      </c>
    </row>
    <row r="60" spans="1:25" hidden="1" outlineLevel="1">
      <c r="B60" t="s">
        <v>388</v>
      </c>
      <c r="C60" t="s">
        <v>388</v>
      </c>
    </row>
    <row r="61" spans="1:25" hidden="1" outlineLevel="1">
      <c r="A61" t="s">
        <v>357</v>
      </c>
      <c r="B61" s="25">
        <f>D17</f>
        <v>6</v>
      </c>
      <c r="C61" s="25">
        <f>'Change Inputs'!D25</f>
        <v>6</v>
      </c>
      <c r="D61" t="s">
        <v>141</v>
      </c>
      <c r="E61" s="25" t="s">
        <v>389</v>
      </c>
      <c r="U61" s="57"/>
      <c r="V61" s="57"/>
      <c r="W61" s="57"/>
      <c r="X61" s="57"/>
      <c r="Y61" s="57"/>
    </row>
    <row r="62" spans="1:25" hidden="1" outlineLevel="1">
      <c r="A62" t="s">
        <v>390</v>
      </c>
      <c r="B62" s="56">
        <f>D13</f>
        <v>0</v>
      </c>
      <c r="C62" s="56">
        <f>D20*52</f>
        <v>6166.666666666667</v>
      </c>
      <c r="D62" s="56">
        <f>C62*D21</f>
        <v>1850</v>
      </c>
      <c r="E62" s="56">
        <f>C62-D62</f>
        <v>4316.666666666667</v>
      </c>
      <c r="T62" s="57"/>
      <c r="V62" s="57"/>
      <c r="X62" s="57"/>
      <c r="Y62" s="57"/>
    </row>
    <row r="63" spans="1:25" hidden="1" outlineLevel="1">
      <c r="A63" t="s">
        <v>391</v>
      </c>
      <c r="B63" s="32" t="e">
        <f>D14/D13</f>
        <v>#DIV/0!</v>
      </c>
      <c r="E63" s="32"/>
      <c r="T63" s="38"/>
      <c r="V63" s="38"/>
      <c r="X63" s="38"/>
    </row>
    <row r="64" spans="1:25" hidden="1" outlineLevel="1">
      <c r="T64" s="38"/>
      <c r="V64" s="38"/>
      <c r="X64" s="38"/>
    </row>
    <row r="65" spans="1:24" hidden="1" outlineLevel="1">
      <c r="A65" t="s">
        <v>368</v>
      </c>
      <c r="B65" s="32" t="s">
        <v>392</v>
      </c>
      <c r="C65" s="32" t="s">
        <v>392</v>
      </c>
      <c r="D65" t="s">
        <v>393</v>
      </c>
      <c r="E65" s="32" t="s">
        <v>394</v>
      </c>
      <c r="T65" s="38"/>
      <c r="V65" s="38"/>
      <c r="X65" s="38"/>
    </row>
    <row r="66" spans="1:24" hidden="1" outlineLevel="1">
      <c r="A66" s="22" t="s">
        <v>370</v>
      </c>
      <c r="B66" s="56"/>
      <c r="C66" s="56">
        <f>$C$62*D66</f>
        <v>48.1</v>
      </c>
      <c r="D66" s="32">
        <f>D33*D34</f>
        <v>7.7999999999999996E-3</v>
      </c>
      <c r="E66" s="71">
        <f>'Change Inputs'!$D$29</f>
        <v>10</v>
      </c>
      <c r="T66" s="38"/>
      <c r="V66" s="38"/>
      <c r="X66" s="38"/>
    </row>
    <row r="67" spans="1:24" hidden="1" outlineLevel="1">
      <c r="A67" s="22" t="s">
        <v>371</v>
      </c>
      <c r="B67" s="56"/>
      <c r="C67" s="56">
        <f>$C$62*D67</f>
        <v>1555.2333333333333</v>
      </c>
      <c r="D67" s="32">
        <f>D33*D35</f>
        <v>0.25219999999999998</v>
      </c>
      <c r="E67" s="71">
        <f>$D$28</f>
        <v>0</v>
      </c>
      <c r="T67" s="38"/>
      <c r="V67" s="38"/>
      <c r="X67" s="38"/>
    </row>
    <row r="68" spans="1:24" hidden="1" outlineLevel="1">
      <c r="A68" t="s">
        <v>373</v>
      </c>
      <c r="B68" s="56"/>
      <c r="C68" s="56"/>
      <c r="T68" s="59"/>
      <c r="V68" s="59"/>
      <c r="X68" s="59"/>
    </row>
    <row r="69" spans="1:24" hidden="1" outlineLevel="1">
      <c r="A69" s="22" t="s">
        <v>374</v>
      </c>
      <c r="B69" s="56"/>
      <c r="C69" s="56">
        <f>$C$62*D69</f>
        <v>425.49999999999989</v>
      </c>
      <c r="D69" s="32">
        <f>D37*D38</f>
        <v>6.8999999999999978E-2</v>
      </c>
      <c r="T69" s="59"/>
      <c r="V69" s="59"/>
      <c r="X69" s="59"/>
    </row>
    <row r="70" spans="1:24" hidden="1" outlineLevel="1">
      <c r="A70" s="22" t="s">
        <v>376</v>
      </c>
      <c r="B70" s="56"/>
      <c r="C70" s="56">
        <f>$C$62*D70</f>
        <v>3829.5</v>
      </c>
      <c r="D70" s="32">
        <f>D37*D39</f>
        <v>0.621</v>
      </c>
    </row>
    <row r="71" spans="1:24" hidden="1" outlineLevel="1">
      <c r="A71" t="s">
        <v>378</v>
      </c>
      <c r="B71" s="56"/>
      <c r="C71" s="56">
        <f>C62*D71</f>
        <v>308.33333333333331</v>
      </c>
      <c r="D71" s="3">
        <f>D41</f>
        <v>4.9999999999999996E-2</v>
      </c>
    </row>
    <row r="72" spans="1:24" hidden="1" outlineLevel="1">
      <c r="B72" s="56"/>
      <c r="C72" s="56">
        <f>SUM(C66:C71)</f>
        <v>6166.6666666666661</v>
      </c>
      <c r="D72" s="3">
        <f>SUM(D66:D71)</f>
        <v>1</v>
      </c>
    </row>
    <row r="73" spans="1:24" hidden="1" outlineLevel="1">
      <c r="B73" s="56"/>
      <c r="C73" s="56"/>
      <c r="D73" s="3"/>
    </row>
    <row r="74" spans="1:24" hidden="1" outlineLevel="1">
      <c r="A74" s="16" t="s">
        <v>395</v>
      </c>
      <c r="B74" s="30"/>
      <c r="C74" s="30">
        <f>SUM(C69:C70)*D74</f>
        <v>1676.47</v>
      </c>
      <c r="D74" s="127">
        <f>D45</f>
        <v>0.39400000000000002</v>
      </c>
    </row>
    <row r="75" spans="1:24" hidden="1" outlineLevel="1">
      <c r="I75" s="52"/>
      <c r="O75" t="s">
        <v>396</v>
      </c>
    </row>
    <row r="76" spans="1:24" hidden="1" outlineLevel="1" collapsed="1">
      <c r="O76" t="s">
        <v>397</v>
      </c>
    </row>
    <row r="77" spans="1:24" ht="18.45" hidden="1" outlineLevel="1">
      <c r="A77" s="181" t="s">
        <v>398</v>
      </c>
      <c r="O77" t="s">
        <v>399</v>
      </c>
    </row>
    <row r="78" spans="1:24" hidden="1" outlineLevel="1">
      <c r="A78" s="57"/>
      <c r="B78" s="57"/>
      <c r="D78" s="57" t="s">
        <v>392</v>
      </c>
      <c r="E78" s="57"/>
      <c r="G78" s="57" t="s">
        <v>56</v>
      </c>
      <c r="H78" s="57"/>
      <c r="J78" s="57" t="s">
        <v>88</v>
      </c>
      <c r="K78" s="57"/>
      <c r="L78" s="57"/>
      <c r="O78" s="57" t="s">
        <v>400</v>
      </c>
      <c r="Q78" s="57"/>
    </row>
    <row r="79" spans="1:24" hidden="1" outlineLevel="1">
      <c r="A79" s="57" t="s">
        <v>401</v>
      </c>
      <c r="B79" s="57" t="s">
        <v>134</v>
      </c>
      <c r="C79" s="57" t="s">
        <v>402</v>
      </c>
      <c r="D79" s="57" t="s">
        <v>403</v>
      </c>
      <c r="E79" s="57" t="s">
        <v>51</v>
      </c>
      <c r="F79" s="57" t="s">
        <v>404</v>
      </c>
      <c r="G79" s="57" t="s">
        <v>405</v>
      </c>
      <c r="H79" s="57" t="s">
        <v>205</v>
      </c>
      <c r="I79" s="57" t="s">
        <v>406</v>
      </c>
      <c r="J79" s="57" t="s">
        <v>407</v>
      </c>
      <c r="K79" s="57" t="s">
        <v>408</v>
      </c>
      <c r="L79" s="57" t="s">
        <v>409</v>
      </c>
      <c r="M79" s="57" t="s">
        <v>206</v>
      </c>
      <c r="N79" s="57" t="s">
        <v>410</v>
      </c>
      <c r="O79" s="57" t="s">
        <v>411</v>
      </c>
      <c r="P79" s="57" t="s">
        <v>51</v>
      </c>
      <c r="Q79" s="57" t="s">
        <v>412</v>
      </c>
    </row>
    <row r="80" spans="1:24" hidden="1" outlineLevel="1">
      <c r="A80" s="39" t="s">
        <v>183</v>
      </c>
      <c r="B80" s="57"/>
      <c r="C80" s="57"/>
      <c r="D80" s="57"/>
      <c r="E80" s="57"/>
      <c r="F80" s="57"/>
      <c r="G80" s="57"/>
      <c r="H80" s="57"/>
      <c r="I80" s="57"/>
      <c r="J80" s="57"/>
      <c r="K80" s="57"/>
      <c r="L80" s="57"/>
      <c r="M80" s="57"/>
      <c r="N80" s="57"/>
      <c r="O80" s="57"/>
      <c r="P80" s="57"/>
      <c r="Q80" s="57"/>
    </row>
    <row r="81" spans="1:17" hidden="1" outlineLevel="1">
      <c r="A81" s="54" t="s">
        <v>413</v>
      </c>
      <c r="B81" t="s">
        <v>136</v>
      </c>
      <c r="C81" t="s">
        <v>414</v>
      </c>
      <c r="D81" s="30">
        <f>B61*B62*D16*O81</f>
        <v>0</v>
      </c>
      <c r="E81" s="30" cm="1">
        <f t="array" ref="E81">P81*($B$62*B61*$D$16)/_xlfn.XLOOKUP(B81,'Practice Inputs'!$A$54:$A$67,'Practice Inputs'!$I$54:$I$67/'Practice Inputs'!$J$54:$J$67,0)</f>
        <v>0</v>
      </c>
      <c r="G81" s="38">
        <f>E81*_xlfn.XLOOKUP(B81,'Practice Inputs'!$A$54:$A$67,'Practice Inputs'!$K$54:$K$67,0)</f>
        <v>0</v>
      </c>
      <c r="H81" s="38"/>
      <c r="I81" s="38">
        <f>SUM(G81:H81)</f>
        <v>0</v>
      </c>
      <c r="J81" s="38">
        <f>D81*_xlfn.XLOOKUP($B81,'Practice Inputs'!$A$28:$A$47,'Practice Inputs'!$J$28:$J$47,0)</f>
        <v>0</v>
      </c>
      <c r="K81" s="38">
        <f>E81*'Practice Inputs'!$E$162*_xlfn.XLOOKUP(B81,'Practice Inputs'!$A$54:$A$67,'Practice Inputs'!$I$54:$I$67,0)*Q81</f>
        <v>0</v>
      </c>
      <c r="L81">
        <v>0</v>
      </c>
      <c r="M81" s="38">
        <f>SUM(J81:L81)</f>
        <v>0</v>
      </c>
      <c r="N81" s="38">
        <f>I81-M81</f>
        <v>0</v>
      </c>
      <c r="O81">
        <f>IF(C81="Repurpose",0,1)</f>
        <v>0</v>
      </c>
      <c r="P81">
        <f>IF(C81="Repurpose",-1,IF(C81="Add",1,0))</f>
        <v>-1</v>
      </c>
      <c r="Q81">
        <f>IF(C81="Add",1,0)</f>
        <v>0</v>
      </c>
    </row>
    <row r="82" spans="1:17" hidden="1" outlineLevel="1">
      <c r="A82" s="54"/>
      <c r="B82" t="s">
        <v>90</v>
      </c>
      <c r="C82" t="s">
        <v>414</v>
      </c>
      <c r="D82" s="30">
        <f>B62*B61*(1-D16)*O82</f>
        <v>0</v>
      </c>
      <c r="E82" s="30" cm="1">
        <f t="array" ref="E82">P82*($B$61*B62*(1-$D$16))/_xlfn.XLOOKUP(B82,'Practice Inputs'!$A$54:$A$67,'Practice Inputs'!$I$54:$I$67/'Practice Inputs'!$J$54:$J$67,0)</f>
        <v>0</v>
      </c>
      <c r="G82" s="38">
        <f>E82*_xlfn.XLOOKUP(B82,'Practice Inputs'!$A$54:$A$67,'Practice Inputs'!$K$54:$K$67,0)</f>
        <v>0</v>
      </c>
      <c r="H82" s="38"/>
      <c r="I82" s="38">
        <f>SUM(G82:H82)</f>
        <v>0</v>
      </c>
      <c r="J82" s="38">
        <f>D82*_xlfn.XLOOKUP($B82,'Practice Inputs'!$A$28:$A$47,'Practice Inputs'!$J$28:$J$47,0)</f>
        <v>0</v>
      </c>
      <c r="K82" s="38">
        <f>E82*'Practice Inputs'!$E$162*_xlfn.XLOOKUP(B82,'Practice Inputs'!$A$54:$A$67,'Practice Inputs'!$I$54:$I$67,0)*Q82</f>
        <v>0</v>
      </c>
      <c r="L82">
        <v>0</v>
      </c>
      <c r="M82" s="38">
        <f>SUM(J82:L82)</f>
        <v>0</v>
      </c>
      <c r="N82" s="38">
        <f t="shared" ref="N82" si="1">I82-M82</f>
        <v>0</v>
      </c>
      <c r="O82">
        <f t="shared" ref="O82" si="2">IF(C82="Repurpose",0,1)</f>
        <v>0</v>
      </c>
      <c r="P82">
        <f t="shared" ref="P82" si="3">IF(C82="Repurpose",-1,IF(C82="Add",1,0))</f>
        <v>-1</v>
      </c>
      <c r="Q82">
        <f t="shared" ref="Q82:Q94" si="4">IF(C82="Add",1,0)</f>
        <v>0</v>
      </c>
    </row>
    <row r="83" spans="1:17" hidden="1" outlineLevel="1">
      <c r="A83" t="s">
        <v>368</v>
      </c>
      <c r="B83" t="s">
        <v>136</v>
      </c>
      <c r="D83" s="30"/>
      <c r="F83" s="129">
        <f>D14</f>
        <v>0</v>
      </c>
      <c r="G83" s="38">
        <f>D15</f>
        <v>0</v>
      </c>
      <c r="H83" s="38"/>
      <c r="I83" s="38">
        <f>SUM(G83:H83)</f>
        <v>0</v>
      </c>
      <c r="J83" s="38">
        <f>D83*_xlfn.XLOOKUP($B83,'Practice Inputs'!$A$28:$A$47,'Practice Inputs'!$J$28:$J$47,0)</f>
        <v>0</v>
      </c>
      <c r="K83" s="38">
        <f>F83*'Practice Inputs'!$E$162*$C$61*Q83</f>
        <v>0</v>
      </c>
      <c r="L83">
        <v>0</v>
      </c>
      <c r="M83" s="38">
        <f>SUM(J83:L83)</f>
        <v>0</v>
      </c>
      <c r="N83" s="38">
        <f t="shared" ref="N83:N84" si="5">I83-M83</f>
        <v>0</v>
      </c>
      <c r="O83">
        <f t="shared" ref="O83:O84" si="6">IF(C83="Repurpose",0,1)</f>
        <v>1</v>
      </c>
      <c r="P83">
        <f t="shared" ref="P83:P84" si="7">IF(C83="Repurpose",-1,IF(C83="Add",1,0))</f>
        <v>0</v>
      </c>
      <c r="Q83">
        <f t="shared" si="4"/>
        <v>0</v>
      </c>
    </row>
    <row r="84" spans="1:17" hidden="1" outlineLevel="1">
      <c r="A84" t="s">
        <v>415</v>
      </c>
      <c r="B84" t="s">
        <v>136</v>
      </c>
      <c r="C84" t="s">
        <v>416</v>
      </c>
      <c r="D84" s="30">
        <f>(B61-_xlfn.XLOOKUP(B84,'Practice Inputs'!$A$54:$A$67,'Practice Inputs'!$I$54:$I$67,0))*F83*O84</f>
        <v>0</v>
      </c>
      <c r="E84" s="30">
        <f>-F83*P84</f>
        <v>0</v>
      </c>
      <c r="F84" s="129"/>
      <c r="G84" s="38">
        <f>E84*_xlfn.XLOOKUP(B84,'Practice Inputs'!$A$54:$A$67,'Practice Inputs'!$K$54:$K$67,0)</f>
        <v>0</v>
      </c>
      <c r="H84" s="38"/>
      <c r="I84" s="38">
        <f>SUM(G84:H84)</f>
        <v>0</v>
      </c>
      <c r="J84" s="38">
        <f>D84*_xlfn.XLOOKUP($B84,'Practice Inputs'!$A$28:$A$47,'Practice Inputs'!$J$28:$J$47,0)*O84</f>
        <v>0</v>
      </c>
      <c r="K84" s="38">
        <f>E84*'Practice Inputs'!$E$162*_xlfn.XLOOKUP(B84,'Practice Inputs'!$A$54:$A$67,'Practice Inputs'!$I$54:$I$67,0)*Q84</f>
        <v>0</v>
      </c>
      <c r="L84">
        <v>0</v>
      </c>
      <c r="M84" s="38">
        <f>SUM(J84:L84)</f>
        <v>0</v>
      </c>
      <c r="N84" s="38">
        <f t="shared" si="5"/>
        <v>0</v>
      </c>
      <c r="O84">
        <f t="shared" si="6"/>
        <v>1</v>
      </c>
      <c r="P84">
        <f t="shared" si="7"/>
        <v>0</v>
      </c>
      <c r="Q84">
        <f t="shared" si="4"/>
        <v>0</v>
      </c>
    </row>
    <row r="85" spans="1:17" hidden="1" outlineLevel="1">
      <c r="A85" s="39" t="s">
        <v>358</v>
      </c>
      <c r="D85" s="30"/>
      <c r="F85" s="129"/>
      <c r="G85" s="38"/>
      <c r="H85" s="38"/>
      <c r="I85" s="38"/>
      <c r="J85" s="38"/>
      <c r="K85" s="38"/>
      <c r="M85" s="38"/>
      <c r="N85" s="38"/>
    </row>
    <row r="86" spans="1:17" hidden="1" outlineLevel="1">
      <c r="A86" s="54" t="s">
        <v>413</v>
      </c>
      <c r="B86" t="s">
        <v>136</v>
      </c>
      <c r="C86" t="s">
        <v>414</v>
      </c>
      <c r="D86" s="30">
        <f>D62*C61*O86</f>
        <v>0</v>
      </c>
      <c r="E86" s="30" cm="1">
        <f t="array" ref="E86">P86*($D$62*C61)/_xlfn.XLOOKUP(B86,'Practice Inputs'!$A$54:$A$67,'Practice Inputs'!$I$54:$I$67/'Practice Inputs'!$J$54:$J$67,0)</f>
        <v>-623.15694684110974</v>
      </c>
      <c r="G86" s="38">
        <f>E86*_xlfn.XLOOKUP(B86,'Practice Inputs'!$A$54:$A$67,'Practice Inputs'!$K$54:$K$67,0)</f>
        <v>-21193.592634609591</v>
      </c>
      <c r="H86" s="38"/>
      <c r="I86" s="38">
        <f>SUM(G86:H86)</f>
        <v>-21193.592634609591</v>
      </c>
      <c r="J86" s="38">
        <f>D86*_xlfn.XLOOKUP($B86,'Practice Inputs'!$A$28:$A$47,'Practice Inputs'!$J$28:$J$47,0)</f>
        <v>0</v>
      </c>
      <c r="K86" s="38">
        <f>E86*'Practice Inputs'!$E$162*_xlfn.XLOOKUP(B86,'Practice Inputs'!$A$54:$A$67,'Practice Inputs'!$I$54:$I$67,0)*Q86</f>
        <v>0</v>
      </c>
      <c r="L86">
        <v>0</v>
      </c>
      <c r="M86" s="38">
        <f>SUM(J86:L86)</f>
        <v>0</v>
      </c>
      <c r="N86" s="38">
        <f>I86-M86</f>
        <v>-21193.592634609591</v>
      </c>
      <c r="O86">
        <f>IF(C86="Repurpose",0,1)</f>
        <v>0</v>
      </c>
      <c r="P86">
        <f>IF(C86="Repurpose",-1,IF(C86="Add",1,0))</f>
        <v>-1</v>
      </c>
      <c r="Q86">
        <f t="shared" si="4"/>
        <v>0</v>
      </c>
    </row>
    <row r="87" spans="1:17" hidden="1" outlineLevel="1">
      <c r="A87" s="54"/>
      <c r="B87" t="s">
        <v>90</v>
      </c>
      <c r="C87" t="s">
        <v>414</v>
      </c>
      <c r="D87" s="30">
        <f>E62*C61*O87</f>
        <v>0</v>
      </c>
      <c r="E87" s="30" cm="1">
        <f t="array" ref="E87">P87*($E$62*C61)/_xlfn.XLOOKUP(B87,'Practice Inputs'!$A$54:$A$67,'Practice Inputs'!$I$54:$I$67/'Practice Inputs'!$J$54:$J$67,0)</f>
        <v>-249.6892136703006</v>
      </c>
      <c r="G87" s="38">
        <f>E87*_xlfn.XLOOKUP(B87,'Practice Inputs'!$A$54:$A$67,'Practice Inputs'!$K$54:$K$67,0)</f>
        <v>-217.12105536547881</v>
      </c>
      <c r="H87" s="38"/>
      <c r="I87" s="38">
        <f>SUM(G87:H87)</f>
        <v>-217.12105536547881</v>
      </c>
      <c r="J87" s="38">
        <f>D87*_xlfn.XLOOKUP($B87,'Practice Inputs'!$A$28:$A$47,'Practice Inputs'!$J$28:$J$47,0)</f>
        <v>0</v>
      </c>
      <c r="K87" s="38">
        <f>E87*'Practice Inputs'!$E$162*_xlfn.XLOOKUP(B87,'Practice Inputs'!$A$54:$A$67,'Practice Inputs'!$I$54:$I$67,0)*Q87</f>
        <v>0</v>
      </c>
      <c r="L87">
        <v>0</v>
      </c>
      <c r="M87" s="38">
        <f>SUM(J87:L87)</f>
        <v>0</v>
      </c>
      <c r="N87" s="38">
        <f t="shared" ref="N87:N88" si="8">I87-M87</f>
        <v>-217.12105536547881</v>
      </c>
      <c r="O87">
        <f t="shared" ref="O87:O88" si="9">IF(C87="Repurpose",0,1)</f>
        <v>0</v>
      </c>
      <c r="P87">
        <f t="shared" ref="P87:P88" si="10">IF(C87="Repurpose",-1,IF(C87="Add",1,0))</f>
        <v>-1</v>
      </c>
      <c r="Q87">
        <f t="shared" si="4"/>
        <v>0</v>
      </c>
    </row>
    <row r="88" spans="1:17" hidden="1" outlineLevel="1">
      <c r="A88" t="s">
        <v>368</v>
      </c>
      <c r="B88" t="s">
        <v>136</v>
      </c>
      <c r="C88" t="s">
        <v>414</v>
      </c>
      <c r="D88" s="30"/>
      <c r="F88" s="129">
        <f>SUM(C66:C67)</f>
        <v>1603.3333333333333</v>
      </c>
      <c r="G88" s="38">
        <f>C66*E66+C67*E67</f>
        <v>481</v>
      </c>
      <c r="H88" s="38"/>
      <c r="I88" s="38">
        <f>SUM(G88:H88)</f>
        <v>481</v>
      </c>
      <c r="J88" s="38">
        <f>D88*_xlfn.XLOOKUP($B88,'Practice Inputs'!$A$28:$A$47,'Practice Inputs'!$J$28:$J$47,0)</f>
        <v>0</v>
      </c>
      <c r="K88" s="38">
        <f>F88*'Practice Inputs'!$E$162*$C$61*Q88</f>
        <v>0</v>
      </c>
      <c r="L88">
        <v>0</v>
      </c>
      <c r="M88" s="38">
        <f>SUM(J88:L88)</f>
        <v>0</v>
      </c>
      <c r="N88" s="38">
        <f t="shared" si="8"/>
        <v>481</v>
      </c>
      <c r="O88">
        <f t="shared" si="9"/>
        <v>0</v>
      </c>
      <c r="P88">
        <f t="shared" si="10"/>
        <v>-1</v>
      </c>
      <c r="Q88">
        <f t="shared" si="4"/>
        <v>0</v>
      </c>
    </row>
    <row r="89" spans="1:17" hidden="1" outlineLevel="1">
      <c r="A89" t="s">
        <v>417</v>
      </c>
      <c r="B89" t="s">
        <v>136</v>
      </c>
      <c r="C89" t="s">
        <v>416</v>
      </c>
      <c r="D89" s="30">
        <f>($C$61-_xlfn.XLOOKUP(B89,'Practice Inputs'!$A$54:$A$67,'Practice Inputs'!$I$54:$I$67,0))*F88*O89</f>
        <v>-14430</v>
      </c>
      <c r="E89" s="30">
        <f>-F88*P89</f>
        <v>0</v>
      </c>
      <c r="F89" s="129"/>
      <c r="G89" s="38">
        <f>E89*_xlfn.XLOOKUP(B89,'Practice Inputs'!$A$54:$A$67,'Practice Inputs'!$K$54:$K$67,0)</f>
        <v>0</v>
      </c>
      <c r="H89" s="38"/>
      <c r="I89" s="38">
        <f>SUM(G89:H89)</f>
        <v>0</v>
      </c>
      <c r="J89" s="38">
        <f>D89*_xlfn.XLOOKUP($B89,'Practice Inputs'!$A$28:$A$47,'Practice Inputs'!$J$28:$J$47,0)*O89</f>
        <v>-36604.924045801628</v>
      </c>
      <c r="K89" s="38">
        <f>E89*'Practice Inputs'!$E$162*_xlfn.XLOOKUP(B89,'Practice Inputs'!$A$54:$A$67,'Practice Inputs'!$I$54:$I$67,0)*Q89</f>
        <v>0</v>
      </c>
      <c r="L89">
        <v>0</v>
      </c>
      <c r="M89" s="38">
        <f>SUM(J89:L89)</f>
        <v>-36604.924045801628</v>
      </c>
      <c r="N89" s="38">
        <f t="shared" ref="N89" si="11">I89-M89</f>
        <v>36604.924045801628</v>
      </c>
      <c r="O89">
        <f t="shared" ref="O89" si="12">IF(C89="Repurpose",0,1)</f>
        <v>1</v>
      </c>
      <c r="P89">
        <f t="shared" ref="P89" si="13">IF(C89="Repurpose",-1,IF(C89="Add",1,0))</f>
        <v>0</v>
      </c>
      <c r="Q89">
        <f t="shared" si="4"/>
        <v>0</v>
      </c>
    </row>
    <row r="90" spans="1:17" hidden="1" outlineLevel="1">
      <c r="A90" s="39" t="s">
        <v>401</v>
      </c>
      <c r="D90" s="30"/>
      <c r="G90" s="38"/>
      <c r="H90" s="38"/>
      <c r="I90" s="38"/>
      <c r="J90" s="38"/>
      <c r="K90" s="38"/>
      <c r="M90" s="38"/>
      <c r="N90" s="38"/>
    </row>
    <row r="91" spans="1:17" hidden="1" outlineLevel="1">
      <c r="A91" s="54" t="s">
        <v>413</v>
      </c>
      <c r="B91" t="s">
        <v>136</v>
      </c>
      <c r="D91" s="30">
        <f t="shared" ref="D91:N91" si="14">D86-D81</f>
        <v>0</v>
      </c>
      <c r="E91" s="30">
        <f t="shared" si="14"/>
        <v>-623.15694684110974</v>
      </c>
      <c r="F91">
        <f t="shared" si="14"/>
        <v>0</v>
      </c>
      <c r="G91" s="38">
        <f t="shared" si="14"/>
        <v>-21193.592634609591</v>
      </c>
      <c r="H91" s="38">
        <f t="shared" si="14"/>
        <v>0</v>
      </c>
      <c r="I91" s="38">
        <f t="shared" si="14"/>
        <v>-21193.592634609591</v>
      </c>
      <c r="J91" s="38">
        <f t="shared" si="14"/>
        <v>0</v>
      </c>
      <c r="K91" s="38">
        <f>K86-K81</f>
        <v>0</v>
      </c>
      <c r="L91">
        <f t="shared" si="14"/>
        <v>0</v>
      </c>
      <c r="M91" s="38">
        <f t="shared" si="14"/>
        <v>0</v>
      </c>
      <c r="N91" s="38">
        <f t="shared" si="14"/>
        <v>-21193.592634609591</v>
      </c>
      <c r="O91">
        <f>IF(C91="Repurpose",0,1)</f>
        <v>1</v>
      </c>
      <c r="P91">
        <f>IF(C91="Repurpose",-1,IF(C91="Add",1,0))</f>
        <v>0</v>
      </c>
      <c r="Q91">
        <f t="shared" si="4"/>
        <v>0</v>
      </c>
    </row>
    <row r="92" spans="1:17" hidden="1" outlineLevel="1">
      <c r="A92" s="54"/>
      <c r="B92" t="s">
        <v>90</v>
      </c>
      <c r="D92" s="30">
        <f t="shared" ref="D92:N92" si="15">D87-D82</f>
        <v>0</v>
      </c>
      <c r="E92" s="30">
        <f t="shared" si="15"/>
        <v>-249.6892136703006</v>
      </c>
      <c r="F92">
        <f t="shared" si="15"/>
        <v>0</v>
      </c>
      <c r="G92" s="38">
        <f t="shared" si="15"/>
        <v>-217.12105536547881</v>
      </c>
      <c r="H92" s="38">
        <f t="shared" si="15"/>
        <v>0</v>
      </c>
      <c r="I92" s="38">
        <f t="shared" si="15"/>
        <v>-217.12105536547881</v>
      </c>
      <c r="J92" s="38">
        <f t="shared" si="15"/>
        <v>0</v>
      </c>
      <c r="K92" s="38">
        <f t="shared" si="15"/>
        <v>0</v>
      </c>
      <c r="L92">
        <f t="shared" si="15"/>
        <v>0</v>
      </c>
      <c r="M92" s="38">
        <f t="shared" si="15"/>
        <v>0</v>
      </c>
      <c r="N92" s="38">
        <f t="shared" si="15"/>
        <v>-217.12105536547881</v>
      </c>
      <c r="O92">
        <f t="shared" ref="O92:O94" si="16">IF(C92="Repurpose",0,1)</f>
        <v>1</v>
      </c>
      <c r="P92">
        <f t="shared" ref="P92:P94" si="17">IF(C92="Repurpose",-1,IF(C92="Add",1,0))</f>
        <v>0</v>
      </c>
      <c r="Q92">
        <f t="shared" si="4"/>
        <v>0</v>
      </c>
    </row>
    <row r="93" spans="1:17" hidden="1" outlineLevel="1">
      <c r="A93" t="s">
        <v>368</v>
      </c>
      <c r="B93" t="s">
        <v>136</v>
      </c>
      <c r="D93" s="30">
        <f t="shared" ref="D93:N93" si="18">D88-D83</f>
        <v>0</v>
      </c>
      <c r="E93">
        <f t="shared" si="18"/>
        <v>0</v>
      </c>
      <c r="F93" s="129">
        <f t="shared" si="18"/>
        <v>1603.3333333333333</v>
      </c>
      <c r="G93" s="38">
        <f t="shared" si="18"/>
        <v>481</v>
      </c>
      <c r="H93" s="38">
        <f t="shared" si="18"/>
        <v>0</v>
      </c>
      <c r="I93" s="38">
        <f t="shared" si="18"/>
        <v>481</v>
      </c>
      <c r="J93" s="38">
        <f t="shared" si="18"/>
        <v>0</v>
      </c>
      <c r="K93" s="38">
        <f t="shared" si="18"/>
        <v>0</v>
      </c>
      <c r="L93">
        <f t="shared" si="18"/>
        <v>0</v>
      </c>
      <c r="M93" s="38">
        <f t="shared" si="18"/>
        <v>0</v>
      </c>
      <c r="N93" s="38">
        <f t="shared" si="18"/>
        <v>481</v>
      </c>
      <c r="O93">
        <f t="shared" si="16"/>
        <v>1</v>
      </c>
      <c r="P93">
        <f t="shared" si="17"/>
        <v>0</v>
      </c>
      <c r="Q93">
        <f t="shared" si="4"/>
        <v>0</v>
      </c>
    </row>
    <row r="94" spans="1:17" hidden="1" outlineLevel="1">
      <c r="A94" t="s">
        <v>415</v>
      </c>
      <c r="B94" t="s">
        <v>136</v>
      </c>
      <c r="D94" s="30">
        <f t="shared" ref="D94:N94" si="19">D89-D84</f>
        <v>-14430</v>
      </c>
      <c r="E94" s="30">
        <f t="shared" si="19"/>
        <v>0</v>
      </c>
      <c r="F94" s="129">
        <f t="shared" si="19"/>
        <v>0</v>
      </c>
      <c r="G94" s="38">
        <f t="shared" si="19"/>
        <v>0</v>
      </c>
      <c r="H94" s="38">
        <f t="shared" si="19"/>
        <v>0</v>
      </c>
      <c r="I94" s="38">
        <f t="shared" si="19"/>
        <v>0</v>
      </c>
      <c r="J94" s="38">
        <f t="shared" si="19"/>
        <v>-36604.924045801628</v>
      </c>
      <c r="K94" s="38">
        <f t="shared" si="19"/>
        <v>0</v>
      </c>
      <c r="L94">
        <f t="shared" si="19"/>
        <v>0</v>
      </c>
      <c r="M94" s="38">
        <f t="shared" si="19"/>
        <v>-36604.924045801628</v>
      </c>
      <c r="N94" s="38">
        <f t="shared" si="19"/>
        <v>36604.924045801628</v>
      </c>
      <c r="O94">
        <f t="shared" si="16"/>
        <v>1</v>
      </c>
      <c r="P94">
        <f t="shared" si="17"/>
        <v>0</v>
      </c>
      <c r="Q94">
        <f t="shared" si="4"/>
        <v>0</v>
      </c>
    </row>
    <row r="95" spans="1:17" hidden="1" outlineLevel="1">
      <c r="D95" s="30"/>
      <c r="E95" s="30"/>
      <c r="F95" s="129"/>
      <c r="G95" s="38"/>
      <c r="H95" s="38"/>
      <c r="I95" s="38"/>
      <c r="J95" s="38"/>
      <c r="K95" s="38"/>
      <c r="M95" s="38"/>
      <c r="N95" s="38"/>
    </row>
    <row r="96" spans="1:17" hidden="1" outlineLevel="1">
      <c r="A96" s="57" t="s">
        <v>418</v>
      </c>
      <c r="B96" t="s">
        <v>136</v>
      </c>
      <c r="D96" s="30">
        <f t="shared" ref="D96:N96" si="20">SUMIF($B91:$B95,$B96,D91:D95)</f>
        <v>-14430</v>
      </c>
      <c r="E96" s="30">
        <f t="shared" si="20"/>
        <v>-623.15694684110974</v>
      </c>
      <c r="F96" s="129">
        <f t="shared" si="20"/>
        <v>1603.3333333333333</v>
      </c>
      <c r="G96" s="38">
        <f t="shared" si="20"/>
        <v>-20712.592634609591</v>
      </c>
      <c r="H96" s="38">
        <f t="shared" si="20"/>
        <v>0</v>
      </c>
      <c r="I96" s="38">
        <f t="shared" si="20"/>
        <v>-20712.592634609591</v>
      </c>
      <c r="J96" s="38">
        <f t="shared" si="20"/>
        <v>-36604.924045801628</v>
      </c>
      <c r="K96" s="38">
        <f t="shared" si="20"/>
        <v>0</v>
      </c>
      <c r="L96">
        <f t="shared" si="20"/>
        <v>0</v>
      </c>
      <c r="M96" s="38">
        <f t="shared" si="20"/>
        <v>-36604.924045801628</v>
      </c>
      <c r="N96" s="38">
        <f t="shared" si="20"/>
        <v>15892.331411192037</v>
      </c>
      <c r="Q96" s="59"/>
    </row>
    <row r="97" spans="1:19" hidden="1" outlineLevel="1">
      <c r="A97" s="57"/>
      <c r="B97" t="s">
        <v>90</v>
      </c>
      <c r="D97" s="30">
        <f t="shared" ref="D97:N97" si="21">SUMIF($B91:$B95,$B97,D91:D95)</f>
        <v>0</v>
      </c>
      <c r="E97" s="30">
        <f t="shared" si="21"/>
        <v>-249.6892136703006</v>
      </c>
      <c r="F97" s="129">
        <f t="shared" si="21"/>
        <v>0</v>
      </c>
      <c r="G97" s="38">
        <f t="shared" si="21"/>
        <v>-217.12105536547881</v>
      </c>
      <c r="H97" s="38">
        <f t="shared" si="21"/>
        <v>0</v>
      </c>
      <c r="I97" s="38">
        <f t="shared" si="21"/>
        <v>-217.12105536547881</v>
      </c>
      <c r="J97" s="38">
        <f t="shared" si="21"/>
        <v>0</v>
      </c>
      <c r="K97" s="38">
        <f t="shared" si="21"/>
        <v>0</v>
      </c>
      <c r="L97">
        <f t="shared" si="21"/>
        <v>0</v>
      </c>
      <c r="M97" s="38">
        <f t="shared" si="21"/>
        <v>0</v>
      </c>
      <c r="N97" s="38">
        <f t="shared" si="21"/>
        <v>-217.12105536547881</v>
      </c>
      <c r="Q97" s="59"/>
    </row>
    <row r="98" spans="1:19" hidden="1" outlineLevel="1">
      <c r="A98" t="s">
        <v>419</v>
      </c>
      <c r="D98" s="25"/>
      <c r="G98" s="38"/>
      <c r="H98" s="38"/>
      <c r="I98" s="38">
        <f>SUM(G98:H98)</f>
        <v>0</v>
      </c>
      <c r="J98" s="38"/>
      <c r="K98" s="38">
        <f>SUM(D54:D56)</f>
        <v>0</v>
      </c>
      <c r="M98" s="38">
        <f>SUM(J98:L98)</f>
        <v>0</v>
      </c>
      <c r="N98" s="38">
        <f>I98-M98</f>
        <v>0</v>
      </c>
    </row>
    <row r="99" spans="1:19" hidden="1" outlineLevel="1">
      <c r="A99" s="57" t="s">
        <v>92</v>
      </c>
      <c r="B99" s="57" t="s">
        <v>92</v>
      </c>
      <c r="D99" s="58">
        <f>SUM(D96:D98)</f>
        <v>-14430</v>
      </c>
      <c r="E99" s="58">
        <f t="shared" ref="E99:N99" si="22">SUM(E96:E98)</f>
        <v>-872.84616051141029</v>
      </c>
      <c r="F99" s="58">
        <f t="shared" si="22"/>
        <v>1603.3333333333333</v>
      </c>
      <c r="G99" s="59">
        <f>SUM(G96:G98)</f>
        <v>-20929.713689975069</v>
      </c>
      <c r="H99" s="59">
        <f t="shared" si="22"/>
        <v>0</v>
      </c>
      <c r="I99" s="59">
        <f>SUM(I96:I98)</f>
        <v>-20929.713689975069</v>
      </c>
      <c r="J99" s="59">
        <f t="shared" si="22"/>
        <v>-36604.924045801628</v>
      </c>
      <c r="K99" s="59">
        <f t="shared" si="22"/>
        <v>0</v>
      </c>
      <c r="L99" s="59">
        <f t="shared" si="22"/>
        <v>0</v>
      </c>
      <c r="M99" s="59">
        <f t="shared" si="22"/>
        <v>-36604.924045801628</v>
      </c>
      <c r="N99" s="59">
        <f t="shared" si="22"/>
        <v>15675.210355826559</v>
      </c>
      <c r="Q99" s="59"/>
    </row>
    <row r="100" spans="1:19" collapsed="1"/>
    <row r="101" spans="1:19" collapsed="1"/>
    <row r="102" spans="1:19" ht="18.899999999999999" thickBot="1">
      <c r="A102" s="128" t="s">
        <v>420</v>
      </c>
      <c r="B102" s="119"/>
      <c r="C102" s="119"/>
      <c r="D102" s="119"/>
      <c r="E102" s="119"/>
      <c r="F102" s="119"/>
      <c r="G102" s="128"/>
      <c r="H102" s="119"/>
      <c r="I102" s="119"/>
      <c r="J102" s="119"/>
      <c r="K102" s="119"/>
      <c r="L102" s="119"/>
      <c r="M102" s="119"/>
      <c r="N102" s="119"/>
      <c r="O102" s="119"/>
      <c r="P102" s="119"/>
      <c r="Q102" s="119"/>
      <c r="R102" s="119"/>
      <c r="S102" s="119"/>
    </row>
    <row r="103" spans="1:19" ht="15.9">
      <c r="B103" s="18"/>
      <c r="C103" s="18"/>
      <c r="D103" s="18"/>
      <c r="E103" s="2"/>
      <c r="F103" s="50"/>
    </row>
    <row r="104" spans="1:19" ht="18.45">
      <c r="A104" s="182" t="s">
        <v>28</v>
      </c>
    </row>
    <row r="105" spans="1:19" ht="15.9">
      <c r="B105" s="180" t="s">
        <v>264</v>
      </c>
      <c r="C105" s="115" t="s">
        <v>73</v>
      </c>
      <c r="D105" s="180" t="s">
        <v>266</v>
      </c>
      <c r="E105" s="126"/>
    </row>
    <row r="107" spans="1:19">
      <c r="A107" t="s">
        <v>421</v>
      </c>
      <c r="B107">
        <f>'Urgent unplanned'!I31</f>
        <v>0</v>
      </c>
      <c r="C107" s="48">
        <f>_xlfn.XLOOKUP(input_complexity,Defaults!$B$46:$D$46,Defaults!$B$57:$D$57)</f>
        <v>40.320512820512825</v>
      </c>
      <c r="D107" s="30">
        <f>IF('Urgent unplanned'!$I$31="",C107,B107)</f>
        <v>40.320512820512825</v>
      </c>
      <c r="H107" s="48"/>
      <c r="N107" s="16"/>
      <c r="O107" s="64"/>
    </row>
    <row r="108" spans="1:19">
      <c r="A108" t="s">
        <v>422</v>
      </c>
      <c r="B108">
        <f>'Urgent unplanned'!I32</f>
        <v>0</v>
      </c>
      <c r="C108" s="48">
        <v>0</v>
      </c>
      <c r="D108" s="30">
        <f>IF('Urgent unplanned'!$I$32="",C108,B108)</f>
        <v>0</v>
      </c>
      <c r="G108" s="16"/>
      <c r="H108" s="16"/>
      <c r="I108" s="16"/>
      <c r="J108" s="16"/>
      <c r="K108" s="16"/>
      <c r="N108" s="16"/>
      <c r="O108" s="64"/>
    </row>
    <row r="109" spans="1:19">
      <c r="A109" t="s">
        <v>423</v>
      </c>
      <c r="B109" t="str">
        <f>'Urgent unplanned'!F36</f>
        <v>Paramedic, extended care</v>
      </c>
      <c r="C109" s="123" t="s">
        <v>84</v>
      </c>
      <c r="D109" s="30" t="str">
        <f>IF('Urgent unplanned'!F36="",C109,B109)</f>
        <v>Paramedic, extended care</v>
      </c>
      <c r="N109" s="16"/>
      <c r="O109" s="64"/>
    </row>
    <row r="110" spans="1:19">
      <c r="N110" s="16"/>
      <c r="O110" s="64"/>
    </row>
    <row r="111" spans="1:19">
      <c r="A111" t="s">
        <v>424</v>
      </c>
      <c r="B111" s="299" t="s">
        <v>136</v>
      </c>
      <c r="C111" s="123" t="s">
        <v>136</v>
      </c>
      <c r="D111" s="30" t="str">
        <f>IF('Urgent unplanned'!F38="",C111,B111)</f>
        <v>General practitioner</v>
      </c>
      <c r="N111" s="16"/>
      <c r="O111" s="64"/>
    </row>
    <row r="112" spans="1:19">
      <c r="N112" s="16"/>
      <c r="O112" s="64"/>
    </row>
    <row r="113" spans="1:15">
      <c r="A113" s="16" t="s">
        <v>425</v>
      </c>
      <c r="N113" s="16"/>
      <c r="O113" s="64"/>
    </row>
    <row r="114" spans="1:15">
      <c r="A114" t="str">
        <f>'Practice Inputs'!A54</f>
        <v>General practitioner</v>
      </c>
      <c r="B114" s="145"/>
      <c r="C114" s="146">
        <v>0</v>
      </c>
      <c r="D114" s="32">
        <f>IF(B114="",C114,B114)</f>
        <v>0</v>
      </c>
      <c r="N114" s="16"/>
      <c r="O114" s="64"/>
    </row>
    <row r="115" spans="1:15">
      <c r="A115" t="str">
        <f>'Practice Inputs'!A55</f>
        <v>Nurse practitioner</v>
      </c>
      <c r="B115" s="145"/>
      <c r="C115" s="146">
        <v>0.2</v>
      </c>
      <c r="D115" s="32">
        <f>IF(B115="",C115,B115)</f>
        <v>0.2</v>
      </c>
    </row>
    <row r="116" spans="1:15">
      <c r="A116" t="str">
        <f>'Practice Inputs'!A56</f>
        <v>Nurse</v>
      </c>
      <c r="B116" s="145"/>
      <c r="C116" s="146">
        <v>0.5</v>
      </c>
      <c r="D116" s="32">
        <f>IF(B116="",C116,B116)</f>
        <v>0.5</v>
      </c>
    </row>
    <row r="117" spans="1:15">
      <c r="A117" t="str">
        <f>'Practice Inputs'!A57</f>
        <v>Paramedic, extended care</v>
      </c>
      <c r="B117" s="145"/>
      <c r="C117" s="146">
        <v>0.2</v>
      </c>
      <c r="D117" s="32">
        <f>IF(B117="",C117,B117)</f>
        <v>0.2</v>
      </c>
    </row>
    <row r="119" spans="1:15">
      <c r="A119" s="32"/>
      <c r="B119" s="32"/>
      <c r="C119" s="32"/>
      <c r="D119" s="32"/>
    </row>
    <row r="120" spans="1:15">
      <c r="A120" s="39" t="s">
        <v>426</v>
      </c>
      <c r="B120" s="180" t="s">
        <v>264</v>
      </c>
      <c r="E120" s="115" t="s">
        <v>73</v>
      </c>
      <c r="F120" s="47"/>
      <c r="H120" s="180" t="s">
        <v>266</v>
      </c>
    </row>
    <row r="121" spans="1:15" ht="58.3">
      <c r="A121" s="51"/>
      <c r="B121" s="51" t="s">
        <v>427</v>
      </c>
      <c r="C121" s="51" t="s">
        <v>297</v>
      </c>
      <c r="D121" s="51" t="s">
        <v>112</v>
      </c>
      <c r="E121" s="215" t="s">
        <v>427</v>
      </c>
      <c r="F121" s="112" t="s">
        <v>297</v>
      </c>
      <c r="G121" s="112" t="s">
        <v>112</v>
      </c>
      <c r="H121" s="51" t="s">
        <v>427</v>
      </c>
      <c r="I121" s="51" t="s">
        <v>299</v>
      </c>
      <c r="J121" s="51" t="s">
        <v>112</v>
      </c>
    </row>
    <row r="122" spans="1:15">
      <c r="A122" t="str">
        <f>A114</f>
        <v>General practitioner</v>
      </c>
      <c r="B122" s="33"/>
      <c r="C122" s="33"/>
      <c r="D122" s="68"/>
      <c r="E122" s="106">
        <f>_xlfn.XLOOKUP($A122,'Practice Inputs'!$A$54:$A$67,'Practice Inputs'!$I$54:$I$67)</f>
        <v>15</v>
      </c>
      <c r="F122" s="107">
        <f>_xlfn.XLOOKUP($A122,'Practice Inputs'!$A$54:$A$67,'Practice Inputs'!$K$54:$K$67)*1.15</f>
        <v>39.111545900836234</v>
      </c>
      <c r="G122" s="191">
        <f>1-'Practice Inputs'!$J$54</f>
        <v>0.15789601778228413</v>
      </c>
      <c r="H122" s="25">
        <f>IF(B122="",E122,B122)</f>
        <v>15</v>
      </c>
      <c r="I122" s="19">
        <f>IF(C122="",F122,C122)/1.15</f>
        <v>34.01003991377064</v>
      </c>
      <c r="J122" s="32">
        <f>IF(D122="",G122,D122)</f>
        <v>0.15789601778228413</v>
      </c>
    </row>
    <row r="123" spans="1:15">
      <c r="A123" t="str">
        <f>A115</f>
        <v>Nurse practitioner</v>
      </c>
      <c r="B123" s="33"/>
      <c r="C123" s="33"/>
      <c r="D123" s="68"/>
      <c r="E123" s="106">
        <f>_xlfn.XLOOKUP($A123,'Practice Inputs'!$A$54:$A$67,'Practice Inputs'!$I$54:$I$67)</f>
        <v>15</v>
      </c>
      <c r="F123" s="107">
        <f>_xlfn.XLOOKUP($A123,'Practice Inputs'!$A$54:$A$67,'Practice Inputs'!$K$54:$K$67)*1.15</f>
        <v>39.111545900836234</v>
      </c>
      <c r="G123" s="191">
        <f>1-'Practice Inputs'!$J$54</f>
        <v>0.15789601778228413</v>
      </c>
      <c r="H123" s="25">
        <f>IF(B123="",E123,B123)</f>
        <v>15</v>
      </c>
      <c r="I123" s="19">
        <f>IF(C123="",F123,C123)/1.15</f>
        <v>34.01003991377064</v>
      </c>
      <c r="J123" s="32">
        <f t="shared" ref="J123:J125" si="23">IF(D123="",G123,D123)</f>
        <v>0.15789601778228413</v>
      </c>
    </row>
    <row r="124" spans="1:15">
      <c r="A124" t="str">
        <f>A116</f>
        <v>Nurse</v>
      </c>
      <c r="B124" s="33"/>
      <c r="C124" s="33"/>
      <c r="D124" s="68"/>
      <c r="E124" s="106">
        <f>_xlfn.XLOOKUP($A124,'Practice Inputs'!$A$54:$A$67,'Practice Inputs'!$I$54:$I$67)</f>
        <v>15</v>
      </c>
      <c r="F124" s="107">
        <f>_xlfn.XLOOKUP($A124,'Practice Inputs'!$A$54:$A$67,'Practice Inputs'!$K$54:$K$67)*1.15</f>
        <v>1</v>
      </c>
      <c r="G124" s="191">
        <f>1-'Practice Inputs'!$J$54</f>
        <v>0.15789601778228413</v>
      </c>
      <c r="H124" s="25">
        <f>IF(B124="",E124,B124)</f>
        <v>15</v>
      </c>
      <c r="I124" s="19">
        <f>IF(C124="",F124,C124)/1.15</f>
        <v>0.86956521739130443</v>
      </c>
      <c r="J124" s="32">
        <f t="shared" ref="J124" si="24">IF(D124="",G124,D124)</f>
        <v>0.15789601778228413</v>
      </c>
    </row>
    <row r="125" spans="1:15">
      <c r="A125" t="str">
        <f t="shared" ref="A125" si="25">A117</f>
        <v>Paramedic, extended care</v>
      </c>
      <c r="B125" s="33"/>
      <c r="C125" s="33"/>
      <c r="D125" s="68"/>
      <c r="E125" s="106">
        <f>_xlfn.XLOOKUP($A125,'Practice Inputs'!$A$54:$A$67,'Practice Inputs'!$I$54:$I$67)</f>
        <v>15</v>
      </c>
      <c r="F125" s="107">
        <f>_xlfn.XLOOKUP($A125,'Practice Inputs'!$A$54:$A$67,'Practice Inputs'!$K$54:$K$67)*1.15</f>
        <v>19.555772950418117</v>
      </c>
      <c r="G125" s="191">
        <f>1-'Practice Inputs'!$J$54</f>
        <v>0.15789601778228413</v>
      </c>
      <c r="H125" s="25">
        <f>IF(B125="",E125,B125)</f>
        <v>15</v>
      </c>
      <c r="I125" s="19">
        <f>IF(C125="",F125,C125)/1.15</f>
        <v>17.00501995688532</v>
      </c>
      <c r="J125" s="32">
        <f t="shared" si="23"/>
        <v>0.15789601778228413</v>
      </c>
    </row>
    <row r="126" spans="1:15">
      <c r="A126" s="106"/>
      <c r="B126" s="106"/>
      <c r="C126" s="106"/>
      <c r="D126" s="106"/>
      <c r="E126" s="107"/>
      <c r="F126" s="25"/>
      <c r="G126" s="19"/>
    </row>
    <row r="127" spans="1:15">
      <c r="A127" s="25" t="s">
        <v>428</v>
      </c>
    </row>
    <row r="128" spans="1:15">
      <c r="A128" t="s">
        <v>304</v>
      </c>
    </row>
    <row r="130" spans="1:24">
      <c r="A130" t="s">
        <v>429</v>
      </c>
      <c r="B130" s="147" t="s">
        <v>430</v>
      </c>
      <c r="D130" s="19"/>
    </row>
    <row r="131" spans="1:24">
      <c r="B131" s="147"/>
      <c r="C131" s="107"/>
      <c r="D131" s="19"/>
    </row>
    <row r="132" spans="1:24">
      <c r="A132" s="39" t="s">
        <v>385</v>
      </c>
      <c r="B132" s="180" t="s">
        <v>264</v>
      </c>
      <c r="C132" s="115" t="s">
        <v>73</v>
      </c>
      <c r="D132" s="180" t="s">
        <v>266</v>
      </c>
      <c r="E132" s="180"/>
    </row>
    <row r="133" spans="1:24">
      <c r="A133" s="103"/>
      <c r="B133" s="41"/>
      <c r="C133" s="149">
        <v>0</v>
      </c>
      <c r="D133" s="70">
        <f>IF(B133="",C133,B133)</f>
        <v>0</v>
      </c>
    </row>
    <row r="134" spans="1:24">
      <c r="A134" s="103"/>
      <c r="B134" s="41"/>
      <c r="C134" s="149">
        <v>0</v>
      </c>
      <c r="D134" s="70">
        <f>IF(B134="",C134,B134)</f>
        <v>0</v>
      </c>
    </row>
    <row r="135" spans="1:24">
      <c r="A135" s="103"/>
      <c r="B135" s="41"/>
      <c r="C135" s="149">
        <v>0</v>
      </c>
      <c r="D135" s="70">
        <f>IF(B135="",C135,B135)</f>
        <v>0</v>
      </c>
    </row>
    <row r="137" spans="1:24">
      <c r="A137" s="39" t="s">
        <v>386</v>
      </c>
      <c r="B137" s="180"/>
      <c r="C137" s="115"/>
      <c r="D137" s="180"/>
      <c r="E137" s="180"/>
    </row>
    <row r="138" spans="1:24">
      <c r="A138" s="255" t="s">
        <v>431</v>
      </c>
      <c r="B138" s="256">
        <f>-'Urgent unplanned'!I33</f>
        <v>0</v>
      </c>
      <c r="C138" s="149">
        <v>0</v>
      </c>
      <c r="D138" s="70">
        <f>IF(B138="",C138,B138)</f>
        <v>0</v>
      </c>
    </row>
    <row r="139" spans="1:24">
      <c r="A139" s="186"/>
      <c r="B139" s="185"/>
      <c r="C139" s="149">
        <v>0</v>
      </c>
      <c r="D139" s="70">
        <f>IF(B139="",C139,B139)</f>
        <v>0</v>
      </c>
    </row>
    <row r="140" spans="1:24">
      <c r="A140" s="187"/>
      <c r="B140" s="185"/>
      <c r="C140" s="149">
        <v>0</v>
      </c>
      <c r="D140" s="70">
        <f>IF(B140="",C140,B140)</f>
        <v>0</v>
      </c>
    </row>
    <row r="142" spans="1:24" ht="18.45" hidden="1" outlineLevel="1">
      <c r="A142" s="181" t="s">
        <v>387</v>
      </c>
    </row>
    <row r="143" spans="1:24" hidden="1" outlineLevel="1"/>
    <row r="144" spans="1:24" hidden="1" outlineLevel="1">
      <c r="D144" s="63"/>
      <c r="F144" s="25"/>
      <c r="T144" s="57"/>
      <c r="U144" s="57"/>
      <c r="V144" s="57"/>
      <c r="W144" s="57"/>
      <c r="X144" s="57"/>
    </row>
    <row r="145" spans="1:24" hidden="1" outlineLevel="1">
      <c r="A145" t="s">
        <v>134</v>
      </c>
      <c r="B145" t="s">
        <v>432</v>
      </c>
      <c r="C145" t="s">
        <v>433</v>
      </c>
      <c r="D145" s="30" t="s">
        <v>394</v>
      </c>
      <c r="E145" t="s">
        <v>434</v>
      </c>
      <c r="F145" t="s">
        <v>435</v>
      </c>
      <c r="G145" s="63" t="s">
        <v>436</v>
      </c>
      <c r="U145" s="57"/>
      <c r="W145" s="57"/>
      <c r="X145" s="57"/>
    </row>
    <row r="146" spans="1:24" hidden="1" outlineLevel="1">
      <c r="A146" s="39" t="s">
        <v>437</v>
      </c>
      <c r="D146" s="30"/>
      <c r="G146" s="63"/>
      <c r="U146" s="57"/>
      <c r="W146" s="57"/>
      <c r="X146" s="57"/>
    </row>
    <row r="147" spans="1:24" hidden="1" outlineLevel="1">
      <c r="A147" s="30" t="str">
        <f>D111</f>
        <v>General practitioner</v>
      </c>
      <c r="B147" s="30">
        <f>D107*52</f>
        <v>2096.666666666667</v>
      </c>
      <c r="C147">
        <f>_xlfn.XLOOKUP(A147,'Practice Inputs'!$A$54:$A$67,'Practice Inputs'!$I$54:$I$67,0)</f>
        <v>15</v>
      </c>
      <c r="D147" s="31">
        <f>_xlfn.XLOOKUP(A147,'Practice Inputs'!$A$54:$A$67,'Practice Inputs'!$K$54:$K$67,0)</f>
        <v>34.01003991377064</v>
      </c>
      <c r="E147" s="55">
        <f>IFERROR((B147*C147)/60/_xlfn.XLOOKUP(A147,'Practice Inputs'!$A$28:$A$47,'Practice Inputs'!$L$28:$L$47),0)</f>
        <v>0.28487318840579712</v>
      </c>
      <c r="F147" s="55">
        <f>IFERROR(E147/(1-_xlfn.XLOOKUP(A147,$A$122:$A$125,$J$122:$J$125))-E147,0)</f>
        <v>5.341423740065937E-2</v>
      </c>
      <c r="G147" s="63">
        <f>E147+F147</f>
        <v>0.33828742580645649</v>
      </c>
      <c r="U147" s="57"/>
      <c r="W147" s="57"/>
      <c r="X147" s="57"/>
    </row>
    <row r="148" spans="1:24" hidden="1" outlineLevel="1">
      <c r="A148" s="39" t="s">
        <v>358</v>
      </c>
      <c r="D148" s="30"/>
      <c r="E148" s="55"/>
      <c r="F148" s="55"/>
      <c r="G148" s="63"/>
      <c r="U148" s="57"/>
      <c r="W148" s="57"/>
      <c r="X148" s="57"/>
    </row>
    <row r="149" spans="1:24" hidden="1" outlineLevel="1">
      <c r="A149" s="30" t="str">
        <f>'Change Inputs'!D109</f>
        <v>Paramedic, extended care</v>
      </c>
      <c r="B149" s="30">
        <f>(D107+D108)*52</f>
        <v>2096.666666666667</v>
      </c>
      <c r="C149">
        <f>_xlfn.XLOOKUP($D$109,$A$122:$A$125,$H$122:$H$125,0)</f>
        <v>15</v>
      </c>
      <c r="D149" s="31">
        <f>_xlfn.XLOOKUP($D$109,$A$122:$A$125,$I$122:$I$125,0)</f>
        <v>17.00501995688532</v>
      </c>
      <c r="E149" s="55">
        <f>IFERROR((B149*C149)/60/_xlfn.XLOOKUP(A149,'Practice Inputs'!$A$28:$A$47,'Practice Inputs'!$L$28:$L$47),0)</f>
        <v>0.27300347222222227</v>
      </c>
      <c r="F149" s="55">
        <f>IFERROR(E149/(1-_xlfn.XLOOKUP(A149,$A$122:$A$125,$J$122:$J$125))-E149,0)</f>
        <v>5.1188644175631903E-2</v>
      </c>
      <c r="G149" s="55">
        <f>E149+F149</f>
        <v>0.32419211639785417</v>
      </c>
      <c r="U149" s="38"/>
      <c r="W149" s="38"/>
    </row>
    <row r="150" spans="1:24" hidden="1" outlineLevel="1">
      <c r="A150" t="s">
        <v>438</v>
      </c>
      <c r="C150" s="3">
        <f>_xlfn.XLOOKUP($D$109,$A$114:$A$117,$D$114:$D$117,$D$117)</f>
        <v>0.2</v>
      </c>
      <c r="G150" s="55">
        <f>C150*G149</f>
        <v>6.4838423279570831E-2</v>
      </c>
      <c r="N150" t="s">
        <v>396</v>
      </c>
      <c r="U150" s="38"/>
      <c r="W150" s="38"/>
    </row>
    <row r="151" spans="1:24" hidden="1" outlineLevel="1" collapsed="1">
      <c r="D151" s="63"/>
      <c r="N151" t="s">
        <v>397</v>
      </c>
      <c r="U151" s="38"/>
      <c r="W151" s="38"/>
    </row>
    <row r="152" spans="1:24" ht="18.45" hidden="1" outlineLevel="1">
      <c r="A152" s="181" t="s">
        <v>398</v>
      </c>
      <c r="N152" t="s">
        <v>399</v>
      </c>
    </row>
    <row r="153" spans="1:24" hidden="1" outlineLevel="1">
      <c r="A153" s="57"/>
      <c r="B153" s="57"/>
      <c r="D153" s="57" t="s">
        <v>392</v>
      </c>
      <c r="E153" s="57"/>
      <c r="F153" s="57" t="s">
        <v>56</v>
      </c>
      <c r="G153" s="57"/>
      <c r="I153" s="57" t="s">
        <v>88</v>
      </c>
      <c r="K153" s="57"/>
      <c r="N153" s="57" t="s">
        <v>400</v>
      </c>
      <c r="U153" s="59"/>
      <c r="W153" s="59"/>
    </row>
    <row r="154" spans="1:24" hidden="1" outlineLevel="1">
      <c r="A154" s="57" t="s">
        <v>401</v>
      </c>
      <c r="B154" s="57" t="s">
        <v>134</v>
      </c>
      <c r="C154" s="57" t="s">
        <v>402</v>
      </c>
      <c r="D154" s="57" t="s">
        <v>403</v>
      </c>
      <c r="E154" s="57" t="s">
        <v>51</v>
      </c>
      <c r="F154" s="57" t="s">
        <v>405</v>
      </c>
      <c r="G154" s="57" t="s">
        <v>205</v>
      </c>
      <c r="H154" s="57" t="s">
        <v>406</v>
      </c>
      <c r="I154" s="57" t="s">
        <v>407</v>
      </c>
      <c r="J154" s="57" t="s">
        <v>408</v>
      </c>
      <c r="K154" s="57" t="s">
        <v>409</v>
      </c>
      <c r="L154" s="57" t="s">
        <v>206</v>
      </c>
      <c r="M154" s="57" t="s">
        <v>410</v>
      </c>
      <c r="N154" s="57" t="s">
        <v>411</v>
      </c>
      <c r="O154" s="57" t="s">
        <v>51</v>
      </c>
      <c r="P154" s="57" t="s">
        <v>412</v>
      </c>
      <c r="U154" s="59"/>
      <c r="W154" s="59"/>
    </row>
    <row r="155" spans="1:24" hidden="1" outlineLevel="1">
      <c r="A155" s="54" t="s">
        <v>439</v>
      </c>
      <c r="B155" s="30" t="str">
        <f>D109</f>
        <v>Paramedic, extended care</v>
      </c>
      <c r="C155" t="s">
        <v>440</v>
      </c>
      <c r="D155" s="30">
        <f>G149*_xlfn.XLOOKUP(B155,'Practice Inputs'!$A$28:$A$47,'Practice Inputs'!$L$28:$L$47,1920)*60*N155</f>
        <v>37346.931809032802</v>
      </c>
      <c r="E155" s="30">
        <f>B149*O155</f>
        <v>2096.666666666667</v>
      </c>
      <c r="F155" s="38">
        <f>E155*$D$149</f>
        <v>35653.858509602891</v>
      </c>
      <c r="G155" s="38"/>
      <c r="H155" s="38">
        <f>SUM(F155:G155)</f>
        <v>35653.858509602891</v>
      </c>
      <c r="I155" s="38">
        <f>D155*_xlfn.XLOOKUP($B155,'Practice Inputs'!$A$28:$A$47,'Practice Inputs'!$J$28:$J$47,0)</f>
        <v>40927.934516850786</v>
      </c>
      <c r="J155" s="38">
        <f>E155*'Practice Inputs'!$E$162*_xlfn.XLOOKUP(B155,'Practice Inputs'!$A$54:$A$67,'Practice Inputs'!$I$54:$I$67,0)*P155</f>
        <v>60096.111329662657</v>
      </c>
      <c r="K155">
        <v>0</v>
      </c>
      <c r="L155" s="38">
        <f>SUM(I155:K155)</f>
        <v>101024.04584651344</v>
      </c>
      <c r="M155" s="38">
        <f>H155-L155</f>
        <v>-65370.187336910552</v>
      </c>
      <c r="N155">
        <f t="shared" ref="N155:N157" si="26">IF(C155="Repurpose",0,1)</f>
        <v>1</v>
      </c>
      <c r="O155">
        <f t="shared" ref="O155:O157" si="27">IF(C155="Repurpose",-1,IF(C155="Add",1,0))</f>
        <v>1</v>
      </c>
      <c r="P155">
        <f>IF(C155="Add",1,0)</f>
        <v>1</v>
      </c>
      <c r="U155" s="59"/>
      <c r="W155" s="59"/>
    </row>
    <row r="156" spans="1:24" hidden="1" outlineLevel="1">
      <c r="A156" s="54"/>
      <c r="B156" s="30" t="str">
        <f>D111</f>
        <v>General practitioner</v>
      </c>
      <c r="C156" t="s">
        <v>440</v>
      </c>
      <c r="D156" s="30">
        <f>-G147*_xlfn.XLOOKUP(B156,'Practice Inputs'!$A$28:$A$47,'Practice Inputs'!$L$28:$L$47,1920)*60*N156</f>
        <v>-37346.931809032794</v>
      </c>
      <c r="E156" s="30">
        <f>-B147*O156</f>
        <v>-2096.666666666667</v>
      </c>
      <c r="F156" s="38">
        <f>E156*_xlfn.XLOOKUP(B156,'Practice Inputs'!$A$54:$A$67,'Practice Inputs'!$K$54:$K$67,0)</f>
        <v>-71307.717019205782</v>
      </c>
      <c r="G156" s="38"/>
      <c r="H156" s="38">
        <f>SUM(F156:G156)</f>
        <v>-71307.717019205782</v>
      </c>
      <c r="I156" s="38">
        <f>D156*_xlfn.XLOOKUP($B156,'Practice Inputs'!$A$28:$A$47,'Practice Inputs'!$J$28:$J$47,0)</f>
        <v>-94738.849772236892</v>
      </c>
      <c r="J156" s="38">
        <f>E156*'Practice Inputs'!$E$162*_xlfn.XLOOKUP(B156,'Practice Inputs'!$A$54:$A$67,'Practice Inputs'!$I$54:$I$67,0)*P156</f>
        <v>-60096.111329662657</v>
      </c>
      <c r="K156">
        <v>0</v>
      </c>
      <c r="L156" s="38">
        <f>SUM(I156:K156)</f>
        <v>-154834.96110189956</v>
      </c>
      <c r="M156" s="38">
        <f t="shared" ref="M156:M157" si="28">H156-L156</f>
        <v>83527.244082693782</v>
      </c>
      <c r="N156">
        <f t="shared" si="26"/>
        <v>1</v>
      </c>
      <c r="O156">
        <f t="shared" si="27"/>
        <v>1</v>
      </c>
      <c r="P156">
        <f t="shared" ref="P156:P157" si="29">IF(C156="Add",1,0)</f>
        <v>1</v>
      </c>
      <c r="U156" s="59"/>
      <c r="W156" s="59"/>
    </row>
    <row r="157" spans="1:24" hidden="1" outlineLevel="1">
      <c r="A157" t="s">
        <v>441</v>
      </c>
      <c r="B157" t="s">
        <v>136</v>
      </c>
      <c r="C157" t="s">
        <v>416</v>
      </c>
      <c r="D157" s="30">
        <f>D155*C150*N157</f>
        <v>7469.3863618065607</v>
      </c>
      <c r="E157" s="30">
        <f>(D155*C150)/_xlfn.XLOOKUP(B157,'Practice Inputs'!$A$54:$A$67,'Practice Inputs'!$I$54:$I$67,0)*O157</f>
        <v>0</v>
      </c>
      <c r="F157" s="38">
        <f>E157*_xlfn.XLOOKUP(B157,'Practice Inputs'!$A$54:$A$67,'Practice Inputs'!$K$54:$K$67,0)</f>
        <v>0</v>
      </c>
      <c r="G157" s="38"/>
      <c r="H157" s="38">
        <f>SUM(F157:G157)</f>
        <v>0</v>
      </c>
      <c r="I157" s="38">
        <f>D157*_xlfn.XLOOKUP($B157,'Practice Inputs'!$A$28:$A$47,'Practice Inputs'!$J$28:$J$47,0)</f>
        <v>18947.769954447383</v>
      </c>
      <c r="J157" s="38">
        <f>E157*'Practice Inputs'!$E$162*_xlfn.XLOOKUP(B157,'Practice Inputs'!$A$54:$A$67,'Practice Inputs'!$I$54:$I$67,0)*P157</f>
        <v>0</v>
      </c>
      <c r="K157">
        <v>0</v>
      </c>
      <c r="L157" s="38">
        <f>SUM(I157:K157)</f>
        <v>18947.769954447383</v>
      </c>
      <c r="M157" s="38">
        <f t="shared" si="28"/>
        <v>-18947.769954447383</v>
      </c>
      <c r="N157">
        <f t="shared" si="26"/>
        <v>1</v>
      </c>
      <c r="O157">
        <f t="shared" si="27"/>
        <v>0</v>
      </c>
      <c r="P157">
        <f t="shared" si="29"/>
        <v>0</v>
      </c>
      <c r="U157" s="59"/>
      <c r="W157" s="59"/>
    </row>
    <row r="158" spans="1:24" hidden="1" outlineLevel="1">
      <c r="E158" s="30"/>
      <c r="F158" s="38"/>
      <c r="G158" s="38"/>
      <c r="H158" s="38"/>
      <c r="I158" s="38"/>
      <c r="J158" s="38"/>
      <c r="L158" s="38"/>
      <c r="M158" s="38"/>
      <c r="U158" s="59"/>
      <c r="W158" s="59"/>
    </row>
    <row r="159" spans="1:24" hidden="1" outlineLevel="1">
      <c r="A159" s="57" t="s">
        <v>418</v>
      </c>
      <c r="B159" t="s">
        <v>136</v>
      </c>
      <c r="D159" s="30">
        <f>SUMIF($B155:$B158,$B159,D155:D158)</f>
        <v>-29877.545447226235</v>
      </c>
      <c r="E159" s="30">
        <f>SUMIF($B155:$B158,$B159,E155:E158)</f>
        <v>-2096.666666666667</v>
      </c>
      <c r="F159" s="38">
        <f t="shared" ref="F159" si="30">SUMIF($B155:$B158,$B159,F155:F158)</f>
        <v>-71307.717019205782</v>
      </c>
      <c r="G159" s="38">
        <f t="shared" ref="G159" si="31">SUMIF($B155:$B158,$B159,G155:G158)</f>
        <v>0</v>
      </c>
      <c r="H159" s="38">
        <f t="shared" ref="H159" si="32">SUMIF($B155:$B158,$B159,H155:H158)</f>
        <v>-71307.717019205782</v>
      </c>
      <c r="I159" s="38">
        <f t="shared" ref="I159" si="33">SUMIF($B155:$B158,$B159,I155:I158)</f>
        <v>-75791.079817789505</v>
      </c>
      <c r="J159" s="38">
        <f t="shared" ref="J159" si="34">SUMIF($B155:$B158,$B159,J155:J158)</f>
        <v>-60096.111329662657</v>
      </c>
      <c r="K159" s="38">
        <f t="shared" ref="K159" si="35">SUMIF($B155:$B158,$B159,K155:K158)</f>
        <v>0</v>
      </c>
      <c r="L159" s="38">
        <f>SUMIF($B155:$B158,$B159,L155:L158)</f>
        <v>-135887.19114745219</v>
      </c>
      <c r="M159" s="38">
        <f>SUMIF($B155:$B158,$B159,M155:M158)</f>
        <v>64579.474128246395</v>
      </c>
      <c r="U159" s="59"/>
      <c r="W159" s="59"/>
    </row>
    <row r="160" spans="1:24" hidden="1" outlineLevel="1">
      <c r="A160" s="57"/>
      <c r="B160" s="30" t="str">
        <f>IF(D109=B159,"",D109)</f>
        <v>Paramedic, extended care</v>
      </c>
      <c r="D160" s="25">
        <f>SUMIF($B155:$B158,$B160,D155:D158)</f>
        <v>37346.931809032802</v>
      </c>
      <c r="E160" s="25">
        <f t="shared" ref="E160" si="36">SUMIF($B155:$B158,$B160,E155:E158)</f>
        <v>2096.666666666667</v>
      </c>
      <c r="F160" s="38">
        <f>SUMIF($B155:$B158,$B160,F155:F158)</f>
        <v>35653.858509602891</v>
      </c>
      <c r="G160" s="38">
        <f t="shared" ref="G160:M160" si="37">SUMIF($B155:$B159,$B160,G155:G159)</f>
        <v>0</v>
      </c>
      <c r="H160" s="38">
        <f t="shared" si="37"/>
        <v>35653.858509602891</v>
      </c>
      <c r="I160" s="38">
        <f t="shared" si="37"/>
        <v>40927.934516850786</v>
      </c>
      <c r="J160" s="38">
        <f t="shared" si="37"/>
        <v>60096.111329662657</v>
      </c>
      <c r="K160" s="38">
        <f t="shared" si="37"/>
        <v>0</v>
      </c>
      <c r="L160" s="38">
        <f>SUMIF($B155:$B159,$B160,L155:L159)</f>
        <v>101024.04584651344</v>
      </c>
      <c r="M160" s="38">
        <f t="shared" si="37"/>
        <v>-65370.187336910552</v>
      </c>
      <c r="U160" s="59"/>
      <c r="W160" s="59"/>
    </row>
    <row r="161" spans="1:23" hidden="1" outlineLevel="1">
      <c r="A161" s="57"/>
      <c r="B161" s="30"/>
      <c r="D161" s="25"/>
      <c r="E161" s="25"/>
      <c r="F161" s="38"/>
      <c r="G161" s="38"/>
      <c r="H161" s="38"/>
      <c r="I161" s="38"/>
      <c r="J161" s="38"/>
      <c r="K161" s="38"/>
      <c r="L161" s="38"/>
      <c r="M161" s="38"/>
      <c r="U161" s="59"/>
      <c r="W161" s="59"/>
    </row>
    <row r="162" spans="1:23" hidden="1" outlineLevel="1">
      <c r="A162" t="s">
        <v>442</v>
      </c>
      <c r="B162" s="30"/>
      <c r="E162" s="30"/>
      <c r="F162" s="38"/>
      <c r="G162" s="38"/>
      <c r="H162" s="38"/>
      <c r="I162" s="38"/>
      <c r="J162" s="38">
        <f>SUM(D138:D140)</f>
        <v>0</v>
      </c>
      <c r="K162" s="38"/>
      <c r="L162" s="38">
        <f>SUM(I162:K162)</f>
        <v>0</v>
      </c>
      <c r="M162" s="38"/>
      <c r="U162" s="59"/>
      <c r="W162" s="59"/>
    </row>
    <row r="163" spans="1:23" hidden="1" outlineLevel="1">
      <c r="A163" s="57" t="s">
        <v>92</v>
      </c>
      <c r="B163" s="57" t="s">
        <v>92</v>
      </c>
      <c r="D163" s="58">
        <f>SUM(D159:D162)</f>
        <v>7469.3863618065661</v>
      </c>
      <c r="E163" s="58">
        <f>SUM(E159:E162)</f>
        <v>0</v>
      </c>
      <c r="F163" s="59">
        <f t="shared" ref="F163:I163" si="38">SUM(F159:F162)</f>
        <v>-35653.858509602891</v>
      </c>
      <c r="G163" s="59">
        <f t="shared" si="38"/>
        <v>0</v>
      </c>
      <c r="H163" s="59">
        <f t="shared" si="38"/>
        <v>-35653.858509602891</v>
      </c>
      <c r="I163" s="59">
        <f t="shared" si="38"/>
        <v>-34863.145300938719</v>
      </c>
      <c r="J163" s="59">
        <f>SUM(J159:J162)</f>
        <v>0</v>
      </c>
      <c r="K163" s="59">
        <f t="shared" ref="K163:M163" si="39">SUM(K159:K162)</f>
        <v>0</v>
      </c>
      <c r="L163" s="59">
        <f>SUM(L159:L162)</f>
        <v>-34863.145300938748</v>
      </c>
      <c r="M163" s="59">
        <f t="shared" si="39"/>
        <v>-790.71320866415772</v>
      </c>
      <c r="U163" s="59"/>
      <c r="W163" s="59"/>
    </row>
    <row r="164" spans="1:23" collapsed="1">
      <c r="F164" s="25"/>
      <c r="H164" s="38"/>
      <c r="I164" s="38"/>
      <c r="J164" s="38"/>
      <c r="K164" s="38"/>
      <c r="L164" s="38"/>
      <c r="N164" s="38"/>
      <c r="O164" s="38"/>
      <c r="U164" s="59"/>
      <c r="W164" s="59"/>
    </row>
    <row r="165" spans="1:23">
      <c r="A165" s="62"/>
    </row>
    <row r="166" spans="1:23" s="85" customFormat="1" ht="18.45">
      <c r="A166" s="84" t="s">
        <v>443</v>
      </c>
      <c r="B166" s="84"/>
      <c r="C166" s="84"/>
      <c r="D166" s="84"/>
      <c r="E166" s="84"/>
      <c r="F166" s="84"/>
      <c r="G166" s="84"/>
      <c r="H166" s="84"/>
      <c r="I166" s="84"/>
      <c r="J166" s="84"/>
      <c r="K166" s="84"/>
      <c r="L166" s="84"/>
      <c r="M166" s="84"/>
      <c r="N166" s="84"/>
      <c r="O166" s="84"/>
      <c r="P166" s="84"/>
      <c r="Q166" s="84"/>
      <c r="R166" s="84"/>
      <c r="S166" s="84"/>
    </row>
    <row r="167" spans="1:23">
      <c r="E167" s="2"/>
      <c r="F167" s="50"/>
    </row>
    <row r="168" spans="1:23" ht="18.899999999999999" thickBot="1">
      <c r="A168" s="128" t="s">
        <v>242</v>
      </c>
      <c r="B168" s="119"/>
      <c r="C168" s="119"/>
      <c r="D168" s="119"/>
      <c r="E168" s="119"/>
      <c r="F168" s="119"/>
      <c r="G168" s="119"/>
      <c r="H168" s="119"/>
      <c r="I168" s="128"/>
      <c r="J168" s="119"/>
      <c r="K168" s="119"/>
      <c r="L168" s="119"/>
      <c r="M168" s="119"/>
      <c r="N168" s="119"/>
      <c r="O168" s="119"/>
      <c r="P168" s="119"/>
      <c r="Q168" s="119"/>
      <c r="R168" s="119"/>
      <c r="S168" s="119"/>
    </row>
    <row r="169" spans="1:23">
      <c r="N169" s="16"/>
      <c r="O169" s="64"/>
    </row>
    <row r="170" spans="1:23" ht="18.45">
      <c r="A170" s="183" t="s">
        <v>28</v>
      </c>
      <c r="I170" s="16"/>
    </row>
    <row r="171" spans="1:23" ht="15.9">
      <c r="A171" s="43"/>
      <c r="B171" s="43"/>
      <c r="H171" s="115"/>
      <c r="L171" s="61"/>
      <c r="M171" s="16"/>
    </row>
    <row r="172" spans="1:23">
      <c r="C172" s="180" t="s">
        <v>264</v>
      </c>
      <c r="G172" s="115" t="s">
        <v>119</v>
      </c>
      <c r="K172" s="180" t="s">
        <v>266</v>
      </c>
    </row>
    <row r="173" spans="1:23" s="51" customFormat="1" ht="43.75">
      <c r="A173" s="51" t="s">
        <v>163</v>
      </c>
      <c r="B173" s="51" t="s">
        <v>87</v>
      </c>
      <c r="C173" s="51" t="s">
        <v>444</v>
      </c>
      <c r="D173" s="51" t="s">
        <v>110</v>
      </c>
      <c r="E173" s="51" t="s">
        <v>111</v>
      </c>
      <c r="F173" s="51" t="s">
        <v>445</v>
      </c>
      <c r="G173" s="215" t="s">
        <v>444</v>
      </c>
      <c r="H173" s="215" t="s">
        <v>110</v>
      </c>
      <c r="I173" s="215" t="s">
        <v>111</v>
      </c>
      <c r="J173" s="215" t="s">
        <v>112</v>
      </c>
      <c r="K173" s="51" t="s">
        <v>444</v>
      </c>
      <c r="L173" s="51" t="s">
        <v>110</v>
      </c>
      <c r="M173" s="51" t="s">
        <v>111</v>
      </c>
      <c r="N173" s="302" t="s">
        <v>112</v>
      </c>
    </row>
    <row r="174" spans="1:23" s="279" customFormat="1">
      <c r="A174" s="279" t="s">
        <v>446</v>
      </c>
      <c r="B174" s="280">
        <v>1</v>
      </c>
      <c r="C174" s="286">
        <v>120000</v>
      </c>
      <c r="D174" s="279">
        <v>30</v>
      </c>
      <c r="E174" s="287">
        <v>25</v>
      </c>
      <c r="F174" s="288">
        <v>0.25</v>
      </c>
    </row>
    <row r="175" spans="1:23">
      <c r="A175">
        <f>'Proactive preventative'!A22</f>
        <v>0</v>
      </c>
      <c r="B175" s="55" t="str">
        <f>'Proactive preventative'!E22</f>
        <v xml:space="preserve"> </v>
      </c>
      <c r="C175" s="251"/>
      <c r="D175" s="252"/>
      <c r="E175" s="247"/>
      <c r="F175" s="35"/>
      <c r="G175" s="156" t="e">
        <f>IF('Proactive preventative'!D22="Yes",1,0)*_xlfn.XLOOKUP($A175,'Practice Inputs'!$A$108:$A$127,'Practice Inputs'!$I$28:$I$47,0)*B175</f>
        <v>#VALUE!</v>
      </c>
      <c r="H175" s="123">
        <f>_xlfn.XLOOKUP($A175,'Practice Inputs'!$A$54:$A$67,'Practice Inputs'!$I$54:$I$67,0)</f>
        <v>0</v>
      </c>
      <c r="I175" s="220">
        <f>_xlfn.XLOOKUP($A175,'Practice Inputs'!$A$54:$A$67,'Practice Inputs'!$K$54:$K$67,0)*1.15</f>
        <v>0</v>
      </c>
      <c r="J175" s="191">
        <f>1-'Practice Inputs'!$J$54</f>
        <v>0.15789601778228413</v>
      </c>
      <c r="K175" s="38" t="e">
        <f>IF(C175="",G175,C175)</f>
        <v>#VALUE!</v>
      </c>
      <c r="L175" s="16">
        <f>IF(D175="",H175,D175)</f>
        <v>0</v>
      </c>
      <c r="M175" s="221">
        <f>IF(E175="",I175,E175)</f>
        <v>0</v>
      </c>
      <c r="N175" s="120">
        <f>IF(F175="",J175,F175)</f>
        <v>0.15789601778228413</v>
      </c>
    </row>
    <row r="176" spans="1:23">
      <c r="A176">
        <f>'Proactive preventative'!A23</f>
        <v>0</v>
      </c>
      <c r="B176" s="55">
        <f>'Proactive preventative'!E23</f>
        <v>0</v>
      </c>
      <c r="C176" s="251"/>
      <c r="D176" s="252"/>
      <c r="E176" s="247"/>
      <c r="F176" s="35"/>
      <c r="G176" s="156">
        <f>IF('Proactive preventative'!D23="Yes",1,0)*_xlfn.XLOOKUP($A176,'Practice Inputs'!$A$108:$A$127,'Practice Inputs'!$I$28:$I$47,0)*B176</f>
        <v>0</v>
      </c>
      <c r="H176" s="123">
        <f>_xlfn.XLOOKUP($A176,'Practice Inputs'!$A$54:$A$67,'Practice Inputs'!$I$54:$I$67,0)</f>
        <v>0</v>
      </c>
      <c r="I176" s="220">
        <f>_xlfn.XLOOKUP($A176,'Practice Inputs'!$A$54:$A$67,'Practice Inputs'!$K$54:$K$67,0)*1.15</f>
        <v>0</v>
      </c>
      <c r="J176" s="191">
        <f>1-'Practice Inputs'!$J$54</f>
        <v>0.15789601778228413</v>
      </c>
      <c r="K176" s="38">
        <f t="shared" ref="K176:K180" si="40">IF(C176="",G176,C176)</f>
        <v>0</v>
      </c>
      <c r="L176" s="16">
        <f t="shared" ref="L176:L180" si="41">IF(D176="",H176,D176)</f>
        <v>0</v>
      </c>
      <c r="M176" s="221">
        <f t="shared" ref="M176:M180" si="42">IF(E176="",I176,E176)</f>
        <v>0</v>
      </c>
      <c r="N176" s="120">
        <f t="shared" ref="N176:N180" si="43">IF(F176="",J176,F176)</f>
        <v>0.15789601778228413</v>
      </c>
    </row>
    <row r="177" spans="1:15">
      <c r="A177">
        <f>'Proactive preventative'!A24</f>
        <v>0</v>
      </c>
      <c r="B177" s="55">
        <f>'Proactive preventative'!E24</f>
        <v>0</v>
      </c>
      <c r="C177" s="251"/>
      <c r="D177" s="252"/>
      <c r="E177" s="247"/>
      <c r="F177" s="35"/>
      <c r="G177" s="156">
        <f>IF('Proactive preventative'!D24="Yes",1,0)*_xlfn.XLOOKUP($A177,'Practice Inputs'!$A$108:$A$127,'Practice Inputs'!$I$28:$I$47,0)*B177</f>
        <v>0</v>
      </c>
      <c r="H177" s="123">
        <f>_xlfn.XLOOKUP($A177,'Practice Inputs'!$A$54:$A$67,'Practice Inputs'!$I$54:$I$67,0)</f>
        <v>0</v>
      </c>
      <c r="I177" s="220">
        <f>_xlfn.XLOOKUP($A177,'Practice Inputs'!$A$54:$A$67,'Practice Inputs'!$K$54:$K$67,0)*1.15</f>
        <v>0</v>
      </c>
      <c r="J177" s="191">
        <f>1-'Practice Inputs'!$J$54</f>
        <v>0.15789601778228413</v>
      </c>
      <c r="K177" s="38">
        <f t="shared" si="40"/>
        <v>0</v>
      </c>
      <c r="L177" s="16">
        <f t="shared" si="41"/>
        <v>0</v>
      </c>
      <c r="M177" s="221">
        <f t="shared" si="42"/>
        <v>0</v>
      </c>
      <c r="N177" s="120">
        <f t="shared" si="43"/>
        <v>0.15789601778228413</v>
      </c>
    </row>
    <row r="178" spans="1:15">
      <c r="A178">
        <f>'Proactive preventative'!A25</f>
        <v>0</v>
      </c>
      <c r="B178" s="55">
        <f>'Proactive preventative'!E25</f>
        <v>0</v>
      </c>
      <c r="C178" s="251"/>
      <c r="D178" s="252"/>
      <c r="E178" s="247"/>
      <c r="F178" s="35"/>
      <c r="G178" s="156">
        <f>IF('Proactive preventative'!D25="Yes",1,0)*_xlfn.XLOOKUP($A178,'Practice Inputs'!$A$108:$A$127,'Practice Inputs'!$I$28:$I$47,0)*B178</f>
        <v>0</v>
      </c>
      <c r="H178" s="123">
        <f>_xlfn.XLOOKUP($A178,'Practice Inputs'!$A$54:$A$67,'Practice Inputs'!$I$54:$I$67,0)</f>
        <v>0</v>
      </c>
      <c r="I178" s="220">
        <f>_xlfn.XLOOKUP($A178,'Practice Inputs'!$A$54:$A$67,'Practice Inputs'!$K$54:$K$67,0)*1.15</f>
        <v>0</v>
      </c>
      <c r="J178" s="191">
        <f>1-'Practice Inputs'!$J$54</f>
        <v>0.15789601778228413</v>
      </c>
      <c r="K178" s="38">
        <f t="shared" si="40"/>
        <v>0</v>
      </c>
      <c r="L178" s="16">
        <f t="shared" si="41"/>
        <v>0</v>
      </c>
      <c r="M178" s="221">
        <f t="shared" si="42"/>
        <v>0</v>
      </c>
      <c r="N178" s="120">
        <f t="shared" si="43"/>
        <v>0.15789601778228413</v>
      </c>
    </row>
    <row r="179" spans="1:15">
      <c r="A179">
        <f>'Proactive preventative'!A26</f>
        <v>0</v>
      </c>
      <c r="B179" s="55">
        <f>'Proactive preventative'!E26</f>
        <v>0</v>
      </c>
      <c r="C179" s="251"/>
      <c r="D179" s="252"/>
      <c r="E179" s="247"/>
      <c r="F179" s="35"/>
      <c r="G179" s="156">
        <f>IF('Proactive preventative'!D26="Yes",1,0)*_xlfn.XLOOKUP($A179,'Practice Inputs'!$A$108:$A$127,'Practice Inputs'!$I$28:$I$47,0)*B179</f>
        <v>0</v>
      </c>
      <c r="H179" s="123">
        <f>_xlfn.XLOOKUP($A179,'Practice Inputs'!$A$54:$A$67,'Practice Inputs'!$I$54:$I$67,0)</f>
        <v>0</v>
      </c>
      <c r="I179" s="220">
        <f>_xlfn.XLOOKUP($A179,'Practice Inputs'!$A$54:$A$67,'Practice Inputs'!$K$54:$K$67,0)*1.15</f>
        <v>0</v>
      </c>
      <c r="J179" s="191">
        <f>1-'Practice Inputs'!$J$54</f>
        <v>0.15789601778228413</v>
      </c>
      <c r="K179" s="38">
        <f t="shared" si="40"/>
        <v>0</v>
      </c>
      <c r="L179" s="16">
        <f t="shared" si="41"/>
        <v>0</v>
      </c>
      <c r="M179" s="221">
        <f t="shared" si="42"/>
        <v>0</v>
      </c>
      <c r="N179" s="120">
        <f t="shared" si="43"/>
        <v>0.15789601778228413</v>
      </c>
    </row>
    <row r="180" spans="1:15">
      <c r="A180">
        <f>'Proactive preventative'!A27</f>
        <v>0</v>
      </c>
      <c r="B180" s="55">
        <f>'Proactive preventative'!E27</f>
        <v>0</v>
      </c>
      <c r="C180" s="251"/>
      <c r="D180" s="252"/>
      <c r="E180" s="247"/>
      <c r="F180" s="35"/>
      <c r="G180" s="156">
        <f>IF('Proactive preventative'!D27="Yes",1,0)*_xlfn.XLOOKUP($A180,'Practice Inputs'!$A$108:$A$127,'Practice Inputs'!$I$28:$I$47,0)*B180</f>
        <v>0</v>
      </c>
      <c r="H180" s="123">
        <f>_xlfn.XLOOKUP($A180,'Practice Inputs'!$A$54:$A$67,'Practice Inputs'!$I$54:$I$67,0)</f>
        <v>0</v>
      </c>
      <c r="I180" s="220">
        <f>_xlfn.XLOOKUP($A180,'Practice Inputs'!$A$54:$A$67,'Practice Inputs'!$K$54:$K$67,0)*1.15</f>
        <v>0</v>
      </c>
      <c r="J180" s="191">
        <f>1-'Practice Inputs'!$J$54</f>
        <v>0.15789601778228413</v>
      </c>
      <c r="K180" s="38">
        <f t="shared" si="40"/>
        <v>0</v>
      </c>
      <c r="L180" s="16">
        <f t="shared" si="41"/>
        <v>0</v>
      </c>
      <c r="M180" s="221">
        <f t="shared" si="42"/>
        <v>0</v>
      </c>
      <c r="N180" s="120">
        <f t="shared" si="43"/>
        <v>0.15789601778228413</v>
      </c>
    </row>
    <row r="181" spans="1:15" ht="14.15" customHeight="1">
      <c r="D181" s="111"/>
      <c r="E181" s="32"/>
    </row>
    <row r="182" spans="1:15">
      <c r="A182" t="s">
        <v>447</v>
      </c>
    </row>
    <row r="183" spans="1:15">
      <c r="A183" s="150" t="s">
        <v>448</v>
      </c>
    </row>
    <row r="184" spans="1:15">
      <c r="A184" t="s">
        <v>449</v>
      </c>
      <c r="N184" s="16"/>
      <c r="O184" s="64"/>
    </row>
    <row r="185" spans="1:15">
      <c r="N185" s="16"/>
      <c r="O185" s="64"/>
    </row>
    <row r="186" spans="1:15">
      <c r="A186" s="39" t="s">
        <v>450</v>
      </c>
      <c r="N186" s="16"/>
      <c r="O186" s="64"/>
    </row>
    <row r="187" spans="1:15">
      <c r="A187" t="s">
        <v>451</v>
      </c>
      <c r="N187" s="16"/>
      <c r="O187" s="64"/>
    </row>
    <row r="188" spans="1:15">
      <c r="A188" s="45" t="s">
        <v>452</v>
      </c>
      <c r="B188" s="45"/>
      <c r="C188" s="45"/>
      <c r="D188" s="45"/>
      <c r="E188" s="45"/>
      <c r="F188" s="45"/>
      <c r="G188" s="45"/>
      <c r="H188" s="45"/>
      <c r="I188" s="45"/>
      <c r="J188" s="45"/>
      <c r="K188" s="45"/>
      <c r="L188" s="45"/>
      <c r="M188" s="45"/>
      <c r="N188" s="62"/>
      <c r="O188" s="278"/>
    </row>
    <row r="189" spans="1:15">
      <c r="A189" s="45"/>
      <c r="B189" s="45"/>
      <c r="C189" s="45"/>
      <c r="D189" s="45"/>
      <c r="E189" s="45"/>
      <c r="F189" s="45"/>
      <c r="G189" s="45"/>
      <c r="H189" s="45"/>
      <c r="I189" s="45"/>
      <c r="J189" s="45"/>
      <c r="K189" s="45"/>
      <c r="L189" s="45"/>
      <c r="M189" s="45"/>
      <c r="N189" s="62"/>
      <c r="O189" s="278"/>
    </row>
    <row r="190" spans="1:15">
      <c r="C190" s="180" t="s">
        <v>453</v>
      </c>
      <c r="N190" s="16"/>
      <c r="O190" s="64"/>
    </row>
    <row r="191" spans="1:15" s="51" customFormat="1" ht="29.15">
      <c r="A191" s="51" t="s">
        <v>454</v>
      </c>
      <c r="B191" s="51" t="s">
        <v>87</v>
      </c>
      <c r="C191" s="214" t="s">
        <v>136</v>
      </c>
      <c r="D191" s="214" t="s">
        <v>284</v>
      </c>
      <c r="E191" s="214" t="s">
        <v>90</v>
      </c>
      <c r="F191" s="214"/>
      <c r="G191" s="214"/>
      <c r="H191" s="214"/>
      <c r="I191" s="51" t="s">
        <v>92</v>
      </c>
    </row>
    <row r="192" spans="1:15" s="279" customFormat="1">
      <c r="A192" s="279" t="s">
        <v>446</v>
      </c>
      <c r="B192" s="280">
        <v>1</v>
      </c>
      <c r="C192" s="278">
        <f>-0.125</f>
        <v>-0.125</v>
      </c>
      <c r="D192" s="278">
        <v>0</v>
      </c>
      <c r="E192" s="278">
        <v>0</v>
      </c>
      <c r="F192" s="278"/>
      <c r="G192" s="278"/>
      <c r="H192" s="278"/>
      <c r="I192" s="278">
        <v>-0.125</v>
      </c>
    </row>
    <row r="193" spans="1:15">
      <c r="A193" s="30">
        <f>'Proactive preventative'!A22</f>
        <v>0</v>
      </c>
      <c r="B193" s="55" t="str">
        <f>'Proactive preventative'!E22</f>
        <v xml:space="preserve"> </v>
      </c>
      <c r="C193" s="187">
        <v>-0.125</v>
      </c>
      <c r="D193" s="187"/>
      <c r="E193" s="187"/>
      <c r="F193" s="187"/>
      <c r="G193" s="187"/>
      <c r="H193" s="187"/>
      <c r="I193" s="102">
        <f>SUM(C193:H193)</f>
        <v>-0.125</v>
      </c>
    </row>
    <row r="194" spans="1:15">
      <c r="A194" s="30">
        <f>'Proactive preventative'!A23</f>
        <v>0</v>
      </c>
      <c r="B194" s="55">
        <f>'Proactive preventative'!E23</f>
        <v>0</v>
      </c>
      <c r="C194" s="187"/>
      <c r="D194" s="187"/>
      <c r="E194" s="187"/>
      <c r="F194" s="187"/>
      <c r="G194" s="187"/>
      <c r="H194" s="187"/>
      <c r="I194" s="102">
        <f t="shared" ref="I194:I198" si="44">SUM(C194:H194)</f>
        <v>0</v>
      </c>
    </row>
    <row r="195" spans="1:15">
      <c r="A195" s="30">
        <f>'Proactive preventative'!A24</f>
        <v>0</v>
      </c>
      <c r="B195" s="55">
        <f>'Proactive preventative'!E24</f>
        <v>0</v>
      </c>
      <c r="C195" s="187"/>
      <c r="D195" s="187"/>
      <c r="E195" s="187"/>
      <c r="F195" s="187"/>
      <c r="G195" s="187"/>
      <c r="H195" s="187"/>
      <c r="I195" s="102">
        <f t="shared" si="44"/>
        <v>0</v>
      </c>
    </row>
    <row r="196" spans="1:15">
      <c r="A196" s="30">
        <f>'Proactive preventative'!A25</f>
        <v>0</v>
      </c>
      <c r="B196" s="55">
        <f>'Proactive preventative'!E25</f>
        <v>0</v>
      </c>
      <c r="C196" s="187"/>
      <c r="D196" s="187"/>
      <c r="E196" s="187"/>
      <c r="F196" s="187"/>
      <c r="G196" s="187"/>
      <c r="H196" s="187"/>
      <c r="I196" s="102">
        <f t="shared" si="44"/>
        <v>0</v>
      </c>
    </row>
    <row r="197" spans="1:15">
      <c r="A197" s="30">
        <f>'Proactive preventative'!A26</f>
        <v>0</v>
      </c>
      <c r="B197" s="55">
        <f>'Proactive preventative'!E26</f>
        <v>0</v>
      </c>
      <c r="C197" s="187"/>
      <c r="D197" s="187"/>
      <c r="E197" s="187"/>
      <c r="F197" s="187"/>
      <c r="G197" s="187"/>
      <c r="H197" s="187"/>
      <c r="I197" s="102">
        <f t="shared" si="44"/>
        <v>0</v>
      </c>
    </row>
    <row r="198" spans="1:15">
      <c r="A198" s="30">
        <f>'Proactive preventative'!A27</f>
        <v>0</v>
      </c>
      <c r="B198" s="55">
        <f>'Proactive preventative'!E27</f>
        <v>0</v>
      </c>
      <c r="C198" s="187"/>
      <c r="D198" s="187"/>
      <c r="E198" s="187"/>
      <c r="F198" s="187"/>
      <c r="G198" s="187"/>
      <c r="H198" s="187"/>
      <c r="I198" s="102">
        <f t="shared" si="44"/>
        <v>0</v>
      </c>
    </row>
    <row r="199" spans="1:15" ht="18.45">
      <c r="A199" s="30"/>
      <c r="C199">
        <f>SUM(C193:C198)</f>
        <v>-0.125</v>
      </c>
      <c r="D199">
        <f t="shared" ref="D199:H199" si="45">SUM(D193:D198)</f>
        <v>0</v>
      </c>
      <c r="E199">
        <f t="shared" si="45"/>
        <v>0</v>
      </c>
      <c r="F199">
        <f t="shared" si="45"/>
        <v>0</v>
      </c>
      <c r="G199">
        <f t="shared" si="45"/>
        <v>0</v>
      </c>
      <c r="H199">
        <f t="shared" si="45"/>
        <v>0</v>
      </c>
      <c r="I199" s="182"/>
    </row>
    <row r="200" spans="1:15" ht="18.45">
      <c r="A200" s="39" t="s">
        <v>455</v>
      </c>
      <c r="I200" s="182"/>
    </row>
    <row r="201" spans="1:15" ht="18.45">
      <c r="A201" t="s">
        <v>456</v>
      </c>
      <c r="I201" s="182"/>
    </row>
    <row r="202" spans="1:15">
      <c r="A202" s="45" t="s">
        <v>457</v>
      </c>
      <c r="B202" s="45"/>
      <c r="C202" s="45"/>
      <c r="D202" s="45"/>
      <c r="E202" s="45"/>
      <c r="F202" s="45"/>
      <c r="G202" s="45"/>
      <c r="H202" s="45"/>
      <c r="I202" s="45"/>
      <c r="J202" s="45"/>
      <c r="K202" s="45"/>
      <c r="L202" s="45"/>
      <c r="M202" s="45"/>
      <c r="N202" s="62"/>
      <c r="O202" s="278"/>
    </row>
    <row r="203" spans="1:15">
      <c r="A203" s="45"/>
      <c r="B203" s="45"/>
      <c r="C203" s="45"/>
      <c r="D203" s="45"/>
      <c r="E203" s="45"/>
      <c r="F203" s="45"/>
      <c r="G203" s="45"/>
      <c r="H203" s="45"/>
      <c r="I203" s="45"/>
      <c r="J203" s="45"/>
      <c r="K203" s="45"/>
      <c r="L203" s="45"/>
      <c r="M203" s="45"/>
      <c r="N203" s="62"/>
      <c r="O203" s="278"/>
    </row>
    <row r="204" spans="1:15">
      <c r="C204" s="180" t="s">
        <v>264</v>
      </c>
      <c r="I204" s="16"/>
      <c r="J204" s="64"/>
    </row>
    <row r="205" spans="1:15" s="51" customFormat="1" ht="29.15">
      <c r="A205" s="51" t="s">
        <v>454</v>
      </c>
      <c r="B205" s="51" t="s">
        <v>87</v>
      </c>
      <c r="C205" s="51" t="s">
        <v>458</v>
      </c>
      <c r="E205" t="s">
        <v>459</v>
      </c>
      <c r="G205"/>
      <c r="H205"/>
      <c r="I205" s="217"/>
      <c r="J205" s="217"/>
    </row>
    <row r="206" spans="1:15" s="276" customFormat="1">
      <c r="A206" s="279" t="s">
        <v>446</v>
      </c>
      <c r="B206" s="280">
        <v>1</v>
      </c>
      <c r="C206" s="281" t="s">
        <v>136</v>
      </c>
      <c r="D206" s="282"/>
      <c r="E206" s="278">
        <v>6.25E-2</v>
      </c>
      <c r="G206" s="279"/>
      <c r="H206" s="279"/>
      <c r="I206" s="277"/>
      <c r="J206" s="277"/>
      <c r="K206" s="277"/>
      <c r="L206" s="277"/>
      <c r="M206" s="277"/>
      <c r="N206" s="277"/>
    </row>
    <row r="207" spans="1:15">
      <c r="A207" s="30">
        <f t="shared" ref="A207:B212" si="46">A193</f>
        <v>0</v>
      </c>
      <c r="B207" s="55" t="str">
        <f t="shared" si="46"/>
        <v xml:space="preserve"> </v>
      </c>
      <c r="C207" s="265" t="s">
        <v>136</v>
      </c>
      <c r="D207" s="266"/>
      <c r="E207" s="187">
        <v>6.25E-2</v>
      </c>
    </row>
    <row r="208" spans="1:15">
      <c r="A208" s="30">
        <f t="shared" si="46"/>
        <v>0</v>
      </c>
      <c r="B208" s="55">
        <f t="shared" si="46"/>
        <v>0</v>
      </c>
      <c r="C208" s="265"/>
      <c r="D208" s="266"/>
      <c r="E208" s="187">
        <v>0</v>
      </c>
    </row>
    <row r="209" spans="1:5">
      <c r="A209" s="30">
        <f t="shared" si="46"/>
        <v>0</v>
      </c>
      <c r="B209" s="55">
        <f t="shared" si="46"/>
        <v>0</v>
      </c>
      <c r="C209" s="265"/>
      <c r="D209" s="266"/>
      <c r="E209" s="187">
        <v>0</v>
      </c>
    </row>
    <row r="210" spans="1:5">
      <c r="A210" s="30">
        <f t="shared" si="46"/>
        <v>0</v>
      </c>
      <c r="B210" s="55">
        <f t="shared" si="46"/>
        <v>0</v>
      </c>
      <c r="C210" s="265"/>
      <c r="D210" s="266"/>
      <c r="E210" s="187">
        <v>0</v>
      </c>
    </row>
    <row r="211" spans="1:5">
      <c r="A211" s="30">
        <f t="shared" si="46"/>
        <v>0</v>
      </c>
      <c r="B211" s="55">
        <f t="shared" si="46"/>
        <v>0</v>
      </c>
      <c r="C211" s="265"/>
      <c r="D211" s="266"/>
      <c r="E211" s="187">
        <v>0</v>
      </c>
    </row>
    <row r="212" spans="1:5">
      <c r="A212" s="30">
        <f t="shared" si="46"/>
        <v>0</v>
      </c>
      <c r="B212" s="55">
        <f t="shared" si="46"/>
        <v>0</v>
      </c>
      <c r="C212" s="265"/>
      <c r="D212" s="266"/>
      <c r="E212" s="187">
        <v>0</v>
      </c>
    </row>
    <row r="213" spans="1:5">
      <c r="A213" s="30"/>
    </row>
    <row r="215" spans="1:5">
      <c r="A215" s="39" t="s">
        <v>385</v>
      </c>
      <c r="B215" s="180" t="s">
        <v>264</v>
      </c>
      <c r="C215" s="115" t="s">
        <v>73</v>
      </c>
      <c r="D215" s="180" t="s">
        <v>266</v>
      </c>
      <c r="E215" s="180"/>
    </row>
    <row r="216" spans="1:5">
      <c r="A216" s="103"/>
      <c r="B216" s="41"/>
      <c r="C216" s="149">
        <v>0</v>
      </c>
      <c r="D216" s="70">
        <f>IF(B216="",C216,B216)</f>
        <v>0</v>
      </c>
    </row>
    <row r="217" spans="1:5">
      <c r="A217" s="103"/>
      <c r="B217" s="41"/>
      <c r="C217" s="149">
        <v>0</v>
      </c>
      <c r="D217" s="70">
        <f>IF(B217="",C217,B217)</f>
        <v>0</v>
      </c>
    </row>
    <row r="218" spans="1:5">
      <c r="A218" s="103"/>
      <c r="B218" s="41"/>
      <c r="C218" s="149">
        <v>0</v>
      </c>
      <c r="D218" s="70">
        <f>IF(B218="",C218,B218)</f>
        <v>0</v>
      </c>
    </row>
    <row r="220" spans="1:5">
      <c r="A220" s="39" t="s">
        <v>386</v>
      </c>
      <c r="B220" s="180"/>
      <c r="C220" s="115"/>
      <c r="D220" s="180"/>
      <c r="E220" s="180"/>
    </row>
    <row r="221" spans="1:5" s="64" customFormat="1">
      <c r="A221" s="278" t="s">
        <v>460</v>
      </c>
      <c r="B221" s="283"/>
      <c r="C221" s="285"/>
      <c r="D221" s="285"/>
      <c r="E221" s="285"/>
    </row>
    <row r="222" spans="1:5">
      <c r="A222" s="186"/>
      <c r="B222" s="185"/>
      <c r="C222" s="149">
        <v>0</v>
      </c>
      <c r="D222" s="70">
        <f>IF(B222="",C222,B222)</f>
        <v>0</v>
      </c>
    </row>
    <row r="223" spans="1:5">
      <c r="A223" s="187"/>
      <c r="B223" s="185"/>
      <c r="C223" s="149">
        <v>0</v>
      </c>
      <c r="D223" s="70">
        <f>IF(B223="",C223,B223)</f>
        <v>0</v>
      </c>
    </row>
    <row r="224" spans="1:5">
      <c r="A224" s="187"/>
      <c r="B224" s="185"/>
      <c r="C224" s="149">
        <v>0</v>
      </c>
      <c r="D224" s="70">
        <f>IF(B224="",C224,B224)</f>
        <v>0</v>
      </c>
    </row>
    <row r="225" spans="1:28">
      <c r="A225" s="16"/>
      <c r="B225" s="72"/>
      <c r="C225" s="152"/>
      <c r="D225" s="153"/>
      <c r="E225" s="31"/>
      <c r="N225" t="s">
        <v>396</v>
      </c>
      <c r="X225" s="38"/>
      <c r="Z225" s="38"/>
      <c r="AB225" s="38"/>
    </row>
    <row r="226" spans="1:28">
      <c r="A226" s="16"/>
      <c r="B226" s="16"/>
      <c r="C226" s="152"/>
      <c r="D226" s="153"/>
      <c r="E226" s="31"/>
      <c r="N226" t="s">
        <v>397</v>
      </c>
      <c r="X226" s="38"/>
      <c r="Z226" s="38"/>
      <c r="AB226" s="38"/>
    </row>
    <row r="227" spans="1:28" ht="18.45" hidden="1" outlineLevel="1">
      <c r="A227" s="181" t="s">
        <v>398</v>
      </c>
      <c r="N227" t="s">
        <v>399</v>
      </c>
    </row>
    <row r="228" spans="1:28" hidden="1" outlineLevel="1">
      <c r="A228" s="57"/>
      <c r="D228" s="57" t="s">
        <v>392</v>
      </c>
      <c r="E228" s="57"/>
      <c r="F228" s="57" t="s">
        <v>56</v>
      </c>
      <c r="G228" s="57"/>
      <c r="I228" s="57" t="s">
        <v>88</v>
      </c>
      <c r="N228" s="57" t="s">
        <v>400</v>
      </c>
    </row>
    <row r="229" spans="1:28" hidden="1" outlineLevel="1">
      <c r="A229" s="57" t="s">
        <v>401</v>
      </c>
      <c r="B229" s="57" t="s">
        <v>134</v>
      </c>
      <c r="C229" s="57" t="s">
        <v>402</v>
      </c>
      <c r="D229" s="57" t="s">
        <v>403</v>
      </c>
      <c r="E229" s="57" t="s">
        <v>51</v>
      </c>
      <c r="F229" s="57" t="s">
        <v>405</v>
      </c>
      <c r="G229" s="57" t="s">
        <v>205</v>
      </c>
      <c r="H229" s="57" t="s">
        <v>406</v>
      </c>
      <c r="I229" s="57" t="s">
        <v>407</v>
      </c>
      <c r="J229" s="57" t="s">
        <v>408</v>
      </c>
      <c r="K229" s="57" t="s">
        <v>409</v>
      </c>
      <c r="L229" s="57" t="s">
        <v>206</v>
      </c>
      <c r="M229" s="57" t="s">
        <v>410</v>
      </c>
      <c r="N229" s="57" t="s">
        <v>411</v>
      </c>
      <c r="O229" s="57" t="s">
        <v>51</v>
      </c>
      <c r="P229" s="57" t="s">
        <v>412</v>
      </c>
    </row>
    <row r="230" spans="1:28" hidden="1" outlineLevel="1">
      <c r="A230" t="s">
        <v>461</v>
      </c>
      <c r="B230">
        <f t="shared" ref="B230:B235" si="47">A175</f>
        <v>0</v>
      </c>
      <c r="C230" t="s">
        <v>440</v>
      </c>
      <c r="D230" t="e">
        <f>(B175*_xlfn.XLOOKUP(B230,'Practice Inputs'!$A$28:$A$47,'Practice Inputs'!$L$28:$L$47,1920)*60)*N230</f>
        <v>#VALUE!</v>
      </c>
      <c r="E230" s="30">
        <f>IFERROR((B175*_xlfn.XLOOKUP(B230,'Practice Inputs'!$A$28:$A$47,'Practice Inputs'!$L$28:$L$47,1920)*60*(1-N175))/L175,0)*O230</f>
        <v>0</v>
      </c>
      <c r="F230" s="38">
        <f t="shared" ref="F230:F235" si="48">E230*M175</f>
        <v>0</v>
      </c>
      <c r="G230" s="38">
        <v>0</v>
      </c>
      <c r="H230" s="38">
        <f t="shared" ref="H230:H241" si="49">SUM(F230:G230)</f>
        <v>0</v>
      </c>
      <c r="I230" s="38" t="e">
        <f>D230*_xlfn.XLOOKUP($B230,'Practice Inputs'!$A$28:$A$47,'Practice Inputs'!$J$28:$J$47,0)-K175</f>
        <v>#VALUE!</v>
      </c>
      <c r="J230" s="38">
        <f>E230*'Practice Inputs'!$D$162*P230</f>
        <v>0</v>
      </c>
      <c r="K230">
        <v>0</v>
      </c>
      <c r="L230" s="38" t="e">
        <f>SUM(I230:K230)</f>
        <v>#VALUE!</v>
      </c>
      <c r="M230" s="38" t="e">
        <f>H230-L230</f>
        <v>#VALUE!</v>
      </c>
      <c r="N230">
        <f t="shared" ref="N230:N235" si="50">IF(C230="Repurpose",0,1)</f>
        <v>1</v>
      </c>
      <c r="O230">
        <f t="shared" ref="O230:O235" si="51">IF(C230="Repurpose",-1,IF(C230="Add",1,0))</f>
        <v>1</v>
      </c>
      <c r="P230">
        <f>IF(C230="Add",1,0)</f>
        <v>1</v>
      </c>
    </row>
    <row r="231" spans="1:28" hidden="1" outlineLevel="1">
      <c r="B231">
        <f t="shared" si="47"/>
        <v>0</v>
      </c>
      <c r="C231" t="s">
        <v>440</v>
      </c>
      <c r="D231">
        <f>(B176*_xlfn.XLOOKUP(B231,'Practice Inputs'!$A$28:$A$47,'Practice Inputs'!$L$28:$L$47,1920)*60)*N231</f>
        <v>0</v>
      </c>
      <c r="E231">
        <f>IFERROR((B176*_xlfn.XLOOKUP(B231,'Practice Inputs'!$A$28:$A$47,'Practice Inputs'!$L$28:$L$47,1920)*60*(1-N176))/L176,0)*O231</f>
        <v>0</v>
      </c>
      <c r="F231" s="38">
        <f t="shared" si="48"/>
        <v>0</v>
      </c>
      <c r="G231" s="38">
        <v>0</v>
      </c>
      <c r="H231" s="38">
        <f t="shared" si="49"/>
        <v>0</v>
      </c>
      <c r="I231" s="38">
        <f>D231*_xlfn.XLOOKUP($B231,'Practice Inputs'!$A$28:$A$47,'Practice Inputs'!$J$28:$J$47,0)-K176</f>
        <v>0</v>
      </c>
      <c r="J231" s="38">
        <f>E231*'Practice Inputs'!$D$162*P231</f>
        <v>0</v>
      </c>
      <c r="K231">
        <v>0</v>
      </c>
      <c r="L231" s="38">
        <f t="shared" ref="L231:L235" si="52">SUM(I231:K231)</f>
        <v>0</v>
      </c>
      <c r="M231" s="38">
        <f t="shared" ref="M231:M235" si="53">H231-L231</f>
        <v>0</v>
      </c>
      <c r="N231">
        <f t="shared" si="50"/>
        <v>1</v>
      </c>
      <c r="O231">
        <f t="shared" si="51"/>
        <v>1</v>
      </c>
      <c r="P231">
        <f t="shared" ref="P231:P244" si="54">IF(C231="Add",1,0)</f>
        <v>1</v>
      </c>
    </row>
    <row r="232" spans="1:28" hidden="1" outlineLevel="1">
      <c r="B232">
        <f t="shared" si="47"/>
        <v>0</v>
      </c>
      <c r="C232" t="s">
        <v>440</v>
      </c>
      <c r="D232">
        <f>(B177*_xlfn.XLOOKUP(B232,'Practice Inputs'!$A$28:$A$47,'Practice Inputs'!$L$28:$L$47,1920)*60)*N232</f>
        <v>0</v>
      </c>
      <c r="E232">
        <f>IFERROR((B177*_xlfn.XLOOKUP(B232,'Practice Inputs'!$A$28:$A$47,'Practice Inputs'!$L$28:$L$47,1920)*60*(1-N177))/L177,0)*O232</f>
        <v>0</v>
      </c>
      <c r="F232" s="38">
        <f t="shared" si="48"/>
        <v>0</v>
      </c>
      <c r="G232" s="38">
        <v>0</v>
      </c>
      <c r="H232" s="38">
        <f t="shared" si="49"/>
        <v>0</v>
      </c>
      <c r="I232" s="38">
        <f>D232*_xlfn.XLOOKUP($B232,'Practice Inputs'!$A$28:$A$47,'Practice Inputs'!$J$28:$J$47,0)-K177</f>
        <v>0</v>
      </c>
      <c r="J232" s="38">
        <f>E232*'Practice Inputs'!$D$162*P232</f>
        <v>0</v>
      </c>
      <c r="K232">
        <v>0</v>
      </c>
      <c r="L232" s="38">
        <f t="shared" si="52"/>
        <v>0</v>
      </c>
      <c r="M232" s="38">
        <f t="shared" si="53"/>
        <v>0</v>
      </c>
      <c r="N232">
        <f t="shared" si="50"/>
        <v>1</v>
      </c>
      <c r="O232">
        <f t="shared" si="51"/>
        <v>1</v>
      </c>
      <c r="P232">
        <f t="shared" si="54"/>
        <v>1</v>
      </c>
    </row>
    <row r="233" spans="1:28" hidden="1" outlineLevel="1">
      <c r="B233">
        <f t="shared" si="47"/>
        <v>0</v>
      </c>
      <c r="C233" t="s">
        <v>440</v>
      </c>
      <c r="D233">
        <f>(B178*_xlfn.XLOOKUP(B233,'Practice Inputs'!$A$28:$A$47,'Practice Inputs'!$L$28:$L$47,1920)*60)*N233</f>
        <v>0</v>
      </c>
      <c r="E233">
        <f>IFERROR((B178*_xlfn.XLOOKUP(B233,'Practice Inputs'!$A$28:$A$47,'Practice Inputs'!$L$28:$L$47,1920)*60*(1-N178))/L178,0)*O233</f>
        <v>0</v>
      </c>
      <c r="F233" s="38">
        <f t="shared" si="48"/>
        <v>0</v>
      </c>
      <c r="G233" s="38">
        <v>0</v>
      </c>
      <c r="H233" s="38">
        <f t="shared" si="49"/>
        <v>0</v>
      </c>
      <c r="I233" s="38">
        <f>D233*_xlfn.XLOOKUP($B233,'Practice Inputs'!$A$28:$A$47,'Practice Inputs'!$J$28:$J$47,0)-K178</f>
        <v>0</v>
      </c>
      <c r="J233" s="38">
        <f>E233*'Practice Inputs'!$D$162*P233</f>
        <v>0</v>
      </c>
      <c r="K233">
        <v>0</v>
      </c>
      <c r="L233" s="38">
        <f t="shared" si="52"/>
        <v>0</v>
      </c>
      <c r="M233" s="38">
        <f t="shared" si="53"/>
        <v>0</v>
      </c>
      <c r="N233">
        <f t="shared" si="50"/>
        <v>1</v>
      </c>
      <c r="O233">
        <f t="shared" si="51"/>
        <v>1</v>
      </c>
      <c r="P233">
        <f t="shared" si="54"/>
        <v>1</v>
      </c>
    </row>
    <row r="234" spans="1:28" hidden="1" outlineLevel="1">
      <c r="B234">
        <f t="shared" si="47"/>
        <v>0</v>
      </c>
      <c r="C234" t="s">
        <v>440</v>
      </c>
      <c r="D234">
        <f>(B179*_xlfn.XLOOKUP(B234,'Practice Inputs'!$A$28:$A$47,'Practice Inputs'!$L$28:$L$47,1920)*60)*N234</f>
        <v>0</v>
      </c>
      <c r="E234">
        <f>IFERROR((B179*_xlfn.XLOOKUP(B234,'Practice Inputs'!$A$28:$A$47,'Practice Inputs'!$L$28:$L$47,1920)*60*(1-N179))/L179,0)*O234</f>
        <v>0</v>
      </c>
      <c r="F234" s="38">
        <f t="shared" si="48"/>
        <v>0</v>
      </c>
      <c r="G234" s="38">
        <v>0</v>
      </c>
      <c r="H234" s="38">
        <f t="shared" si="49"/>
        <v>0</v>
      </c>
      <c r="I234" s="38">
        <f>D234*_xlfn.XLOOKUP($B234,'Practice Inputs'!$A$28:$A$47,'Practice Inputs'!$J$28:$J$47,0)-K179</f>
        <v>0</v>
      </c>
      <c r="J234" s="38">
        <f>E234*'Practice Inputs'!$D$162*P234</f>
        <v>0</v>
      </c>
      <c r="K234">
        <v>0</v>
      </c>
      <c r="L234" s="38">
        <f t="shared" si="52"/>
        <v>0</v>
      </c>
      <c r="M234" s="38">
        <f t="shared" si="53"/>
        <v>0</v>
      </c>
      <c r="N234">
        <f t="shared" si="50"/>
        <v>1</v>
      </c>
      <c r="O234">
        <f t="shared" si="51"/>
        <v>1</v>
      </c>
      <c r="P234">
        <f t="shared" si="54"/>
        <v>1</v>
      </c>
    </row>
    <row r="235" spans="1:28" hidden="1" outlineLevel="1">
      <c r="B235">
        <f t="shared" si="47"/>
        <v>0</v>
      </c>
      <c r="C235" t="s">
        <v>440</v>
      </c>
      <c r="D235">
        <f>(B180*_xlfn.XLOOKUP(B235,'Practice Inputs'!$A$28:$A$47,'Practice Inputs'!$L$28:$L$47,1920)*60)*N235</f>
        <v>0</v>
      </c>
      <c r="E235">
        <f>IFERROR((B180*_xlfn.XLOOKUP(B235,'Practice Inputs'!$A$28:$A$47,'Practice Inputs'!$L$28:$L$47,1920)*60*(1-N180))/L180,0)*O235</f>
        <v>0</v>
      </c>
      <c r="F235" s="38">
        <f t="shared" si="48"/>
        <v>0</v>
      </c>
      <c r="G235" s="38">
        <v>0</v>
      </c>
      <c r="H235" s="38">
        <f t="shared" si="49"/>
        <v>0</v>
      </c>
      <c r="I235" s="38">
        <f>D235*_xlfn.XLOOKUP($B235,'Practice Inputs'!$A$28:$A$47,'Practice Inputs'!$J$28:$J$47,0)-K180</f>
        <v>0</v>
      </c>
      <c r="J235" s="38">
        <f>E235*'Practice Inputs'!$D$162*P235</f>
        <v>0</v>
      </c>
      <c r="K235">
        <v>0</v>
      </c>
      <c r="L235" s="38">
        <f t="shared" si="52"/>
        <v>0</v>
      </c>
      <c r="M235" s="38">
        <f t="shared" si="53"/>
        <v>0</v>
      </c>
      <c r="N235">
        <f t="shared" si="50"/>
        <v>1</v>
      </c>
      <c r="O235">
        <f t="shared" si="51"/>
        <v>1</v>
      </c>
      <c r="P235">
        <f t="shared" si="54"/>
        <v>1</v>
      </c>
    </row>
    <row r="236" spans="1:28" hidden="1" outlineLevel="1">
      <c r="A236" t="s">
        <v>462</v>
      </c>
      <c r="B236" s="30" t="str">
        <f>C191</f>
        <v>General practitioner</v>
      </c>
      <c r="C236" t="s">
        <v>440</v>
      </c>
      <c r="D236">
        <f>C199*_xlfn.XLOOKUP(B236,'Practice Inputs'!$A$28:$A$47,'Practice Inputs'!$L$28:$L$47,1920)*60*N236</f>
        <v>-13800</v>
      </c>
      <c r="E236" s="30" cm="1">
        <f t="array" ref="E236">IFERROR((C199*_xlfn.XLOOKUP(B236,'Practice Inputs'!$A$28:$A$47,'Practice Inputs'!$L$28:$L$47,1920)*60*N236)/_xlfn.XLOOKUP(B236,'Practice Inputs'!$A$54:$A$67,'Practice Inputs'!$I$54:$I$67/'Practice Inputs'!$J$54:$J$67,0),0)*O236</f>
        <v>-774.73566364029864</v>
      </c>
      <c r="F236" s="38">
        <f>E236*_xlfn.XLOOKUP($B236,'Practice Inputs'!$A$54:$A$67,'Practice Inputs'!$K$54:$K$67,0)</f>
        <v>-26348.790843028142</v>
      </c>
      <c r="G236" s="38">
        <v>0</v>
      </c>
      <c r="H236" s="38">
        <f t="shared" si="49"/>
        <v>-26348.790843028142</v>
      </c>
      <c r="I236" s="38">
        <f>D236*_xlfn.XLOOKUP($B236,'Practice Inputs'!$A$28:$A$47,'Practice Inputs'!$J$28:$J$47,0)</f>
        <v>-35006.78806875</v>
      </c>
      <c r="J236" s="38">
        <f>E236*'Practice Inputs'!$E$162*_xlfn.XLOOKUP(B236,'Practice Inputs'!$A$54:$A$67,'Practice Inputs'!$I$54:$I$67,0)*P236</f>
        <v>-22206.009869564765</v>
      </c>
      <c r="K236">
        <v>0</v>
      </c>
      <c r="L236" s="38">
        <f>SUM(I236:K236)</f>
        <v>-57212.797938314761</v>
      </c>
      <c r="M236" s="38">
        <f>H236-L236</f>
        <v>30864.007095286619</v>
      </c>
      <c r="N236">
        <f t="shared" ref="N236:N241" si="55">IF(C236="Repurpose",0,1)</f>
        <v>1</v>
      </c>
      <c r="O236">
        <f t="shared" ref="O236:O241" si="56">IF(C236="Repurpose",-1,IF(C236="Add",1,0))</f>
        <v>1</v>
      </c>
      <c r="P236">
        <f t="shared" si="54"/>
        <v>1</v>
      </c>
    </row>
    <row r="237" spans="1:28" hidden="1" outlineLevel="1">
      <c r="B237" s="30" t="str">
        <f>D191</f>
        <v>Nurse practitioner</v>
      </c>
      <c r="C237" t="s">
        <v>440</v>
      </c>
      <c r="D237">
        <f>D199*_xlfn.XLOOKUP(B237,'Practice Inputs'!$A$28:$A$47,'Practice Inputs'!$L$28:$L$47,1920)*60*N237</f>
        <v>0</v>
      </c>
      <c r="E237" s="30" cm="1">
        <f t="array" ref="E237">IFERROR((D199*_xlfn.XLOOKUP(B237,'Practice Inputs'!$A$28:$A$47,'Practice Inputs'!$L$28:$L$47,1920)*60*N237)/_xlfn.XLOOKUP(B237,'Practice Inputs'!$A$54:$A$67,'Practice Inputs'!$I$54:$I$67/'Practice Inputs'!$J$54:$J$67,0),0)*O237</f>
        <v>0</v>
      </c>
      <c r="F237" s="38">
        <f>E237*_xlfn.XLOOKUP($B237,'Practice Inputs'!$A$54:$A$67,'Practice Inputs'!$K$54:$K$67,0)</f>
        <v>0</v>
      </c>
      <c r="G237" s="38">
        <v>0</v>
      </c>
      <c r="H237" s="38">
        <f t="shared" si="49"/>
        <v>0</v>
      </c>
      <c r="I237" s="38">
        <f>D237*_xlfn.XLOOKUP($B237,'Practice Inputs'!$A$28:$A$47,'Practice Inputs'!$J$28:$J$47,0)</f>
        <v>0</v>
      </c>
      <c r="J237" s="38">
        <f>E237*'Practice Inputs'!$E$162*_xlfn.XLOOKUP(B237,'Practice Inputs'!$A$54:$A$67,'Practice Inputs'!$I$54:$I$67,0)*P237</f>
        <v>0</v>
      </c>
      <c r="L237" s="38">
        <f t="shared" ref="L237:L241" si="57">SUM(I237:K237)</f>
        <v>0</v>
      </c>
      <c r="M237" s="38">
        <f t="shared" ref="M237:M241" si="58">H237-L237</f>
        <v>0</v>
      </c>
      <c r="N237">
        <f t="shared" si="55"/>
        <v>1</v>
      </c>
      <c r="O237">
        <f t="shared" si="56"/>
        <v>1</v>
      </c>
      <c r="P237">
        <f t="shared" si="54"/>
        <v>1</v>
      </c>
    </row>
    <row r="238" spans="1:28" hidden="1" outlineLevel="1">
      <c r="B238" s="30" t="str">
        <f>E191</f>
        <v>Nurse</v>
      </c>
      <c r="C238" t="s">
        <v>440</v>
      </c>
      <c r="D238">
        <f>E199*_xlfn.XLOOKUP(B238,'Practice Inputs'!$A$28:$A$47,'Practice Inputs'!$L$28:$L$47,1920)*60*N238</f>
        <v>0</v>
      </c>
      <c r="E238" s="30" cm="1">
        <f t="array" ref="E238">IFERROR((E199*_xlfn.XLOOKUP(B238,'Practice Inputs'!$A$28:$A$47,'Practice Inputs'!$L$28:$L$47,1920)*60*N238)/_xlfn.XLOOKUP(B238,'Practice Inputs'!$A$54:$A$67,'Practice Inputs'!$I$54:$I$67/'Practice Inputs'!$J$54:$J$67,0),0)*O238</f>
        <v>0</v>
      </c>
      <c r="F238" s="38">
        <f>E238*_xlfn.XLOOKUP($B238,'Practice Inputs'!$A$54:$A$67,'Practice Inputs'!$K$54:$K$67,0)</f>
        <v>0</v>
      </c>
      <c r="G238" s="38">
        <v>0</v>
      </c>
      <c r="H238" s="38">
        <f t="shared" si="49"/>
        <v>0</v>
      </c>
      <c r="I238" s="38">
        <f>D238*_xlfn.XLOOKUP($B238,'Practice Inputs'!$A$28:$A$47,'Practice Inputs'!$J$28:$J$47,0)</f>
        <v>0</v>
      </c>
      <c r="J238" s="38">
        <f>E238*'Practice Inputs'!$E$162*_xlfn.XLOOKUP(B238,'Practice Inputs'!$A$54:$A$67,'Practice Inputs'!$I$54:$I$67,0)*P238</f>
        <v>0</v>
      </c>
      <c r="K238">
        <v>0</v>
      </c>
      <c r="L238" s="38">
        <f t="shared" si="57"/>
        <v>0</v>
      </c>
      <c r="M238" s="38">
        <f t="shared" si="58"/>
        <v>0</v>
      </c>
      <c r="N238">
        <f t="shared" si="55"/>
        <v>1</v>
      </c>
      <c r="O238">
        <f t="shared" si="56"/>
        <v>1</v>
      </c>
      <c r="P238">
        <f t="shared" si="54"/>
        <v>1</v>
      </c>
    </row>
    <row r="239" spans="1:28" hidden="1" outlineLevel="1">
      <c r="B239" s="30">
        <f>F191</f>
        <v>0</v>
      </c>
      <c r="C239" t="s">
        <v>440</v>
      </c>
      <c r="D239">
        <f>F199*_xlfn.XLOOKUP(B239,'Practice Inputs'!$A$28:$A$47,'Practice Inputs'!$L$28:$L$47,1920)*60*N239</f>
        <v>0</v>
      </c>
      <c r="E239" s="30" cm="1">
        <f t="array" ref="E239">IFERROR((F199*_xlfn.XLOOKUP(B239,'Practice Inputs'!$A$28:$A$47,'Practice Inputs'!$L$28:$L$47,1920)*60*N239)/_xlfn.XLOOKUP(B239,'Practice Inputs'!$A$54:$A$67,'Practice Inputs'!$I$54:$I$67/'Practice Inputs'!$J$54:$J$67,0),0)*O239</f>
        <v>0</v>
      </c>
      <c r="F239" s="38">
        <f>E239*_xlfn.XLOOKUP($B239,'Practice Inputs'!$A$54:$A$67,'Practice Inputs'!$K$54:$K$67,0)</f>
        <v>0</v>
      </c>
      <c r="G239" s="38">
        <v>0</v>
      </c>
      <c r="H239" s="38">
        <f t="shared" si="49"/>
        <v>0</v>
      </c>
      <c r="I239" s="38">
        <f>D239*_xlfn.XLOOKUP($B239,'Practice Inputs'!$A$28:$A$47,'Practice Inputs'!$J$28:$J$47,0)</f>
        <v>0</v>
      </c>
      <c r="J239" s="38">
        <f>E239*'Practice Inputs'!$E$162*_xlfn.XLOOKUP(B239,'Practice Inputs'!$A$54:$A$67,'Practice Inputs'!$I$54:$I$67,0)*P239</f>
        <v>0</v>
      </c>
      <c r="L239" s="38">
        <f t="shared" si="57"/>
        <v>0</v>
      </c>
      <c r="M239" s="38">
        <f t="shared" si="58"/>
        <v>0</v>
      </c>
      <c r="N239">
        <f t="shared" si="55"/>
        <v>1</v>
      </c>
      <c r="O239">
        <f t="shared" si="56"/>
        <v>1</v>
      </c>
      <c r="P239">
        <f t="shared" si="54"/>
        <v>1</v>
      </c>
    </row>
    <row r="240" spans="1:28" hidden="1" outlineLevel="1">
      <c r="B240" s="30">
        <f>G191</f>
        <v>0</v>
      </c>
      <c r="C240" t="s">
        <v>440</v>
      </c>
      <c r="D240">
        <f>G199*_xlfn.XLOOKUP(B240,'Practice Inputs'!$A$28:$A$47,'Practice Inputs'!$L$28:$L$47,1920)*60*N240</f>
        <v>0</v>
      </c>
      <c r="E240" s="30" cm="1">
        <f t="array" ref="E240">IFERROR((G199*_xlfn.XLOOKUP(B240,'Practice Inputs'!$A$28:$A$47,'Practice Inputs'!$L$28:$L$47,1920)*60*N240)/_xlfn.XLOOKUP(B240,'Practice Inputs'!$A$54:$A$67,'Practice Inputs'!$I$54:$I$67/'Practice Inputs'!$J$54:$J$67,0),0)*O240</f>
        <v>0</v>
      </c>
      <c r="F240" s="38">
        <f>E240*_xlfn.XLOOKUP($B240,'Practice Inputs'!$A$54:$A$67,'Practice Inputs'!$K$54:$K$67,0)</f>
        <v>0</v>
      </c>
      <c r="G240" s="38">
        <v>0</v>
      </c>
      <c r="H240" s="38">
        <f t="shared" si="49"/>
        <v>0</v>
      </c>
      <c r="I240" s="38">
        <f>D240*_xlfn.XLOOKUP($B240,'Practice Inputs'!$A$28:$A$47,'Practice Inputs'!$J$28:$J$47,0)</f>
        <v>0</v>
      </c>
      <c r="J240" s="38">
        <f>E240*'Practice Inputs'!$E$162*_xlfn.XLOOKUP(B240,'Practice Inputs'!$A$54:$A$67,'Practice Inputs'!$I$54:$I$67,0)*P240</f>
        <v>0</v>
      </c>
      <c r="L240" s="38">
        <f t="shared" si="57"/>
        <v>0</v>
      </c>
      <c r="M240" s="38">
        <f t="shared" si="58"/>
        <v>0</v>
      </c>
      <c r="N240">
        <f t="shared" si="55"/>
        <v>1</v>
      </c>
      <c r="O240">
        <f t="shared" si="56"/>
        <v>1</v>
      </c>
      <c r="P240">
        <f t="shared" si="54"/>
        <v>1</v>
      </c>
    </row>
    <row r="241" spans="1:19" hidden="1" outlineLevel="1">
      <c r="B241" s="30">
        <f>H191</f>
        <v>0</v>
      </c>
      <c r="C241" t="s">
        <v>440</v>
      </c>
      <c r="D241">
        <f>H199*_xlfn.XLOOKUP(B241,'Practice Inputs'!$A$28:$A$47,'Practice Inputs'!$L$28:$L$47,1920)*60*N241</f>
        <v>0</v>
      </c>
      <c r="E241" s="30" cm="1">
        <f t="array" ref="E241">IFERROR((H199*_xlfn.XLOOKUP(B241,'Practice Inputs'!$A$28:$A$47,'Practice Inputs'!$L$28:$L$47,1920)*60*N241)/_xlfn.XLOOKUP(B241,'Practice Inputs'!$A$54:$A$67,'Practice Inputs'!$I$54:$I$67/'Practice Inputs'!$J$54:$J$67,0),0)*O241</f>
        <v>0</v>
      </c>
      <c r="F241" s="38">
        <f>E241*_xlfn.XLOOKUP($B241,'Practice Inputs'!$A$54:$A$67,'Practice Inputs'!$K$54:$K$67,0)</f>
        <v>0</v>
      </c>
      <c r="G241" s="38">
        <v>0</v>
      </c>
      <c r="H241" s="38">
        <f t="shared" si="49"/>
        <v>0</v>
      </c>
      <c r="I241" s="38">
        <f>D241*_xlfn.XLOOKUP($B241,'Practice Inputs'!$A$28:$A$47,'Practice Inputs'!$J$28:$J$47,0)</f>
        <v>0</v>
      </c>
      <c r="J241" s="38">
        <f>E241*'Practice Inputs'!$E$162*_xlfn.XLOOKUP(B241,'Practice Inputs'!$A$54:$A$67,'Practice Inputs'!$I$54:$I$67,0)*P241</f>
        <v>0</v>
      </c>
      <c r="L241" s="38">
        <f t="shared" si="57"/>
        <v>0</v>
      </c>
      <c r="M241" s="38">
        <f t="shared" si="58"/>
        <v>0</v>
      </c>
      <c r="N241">
        <f t="shared" si="55"/>
        <v>1</v>
      </c>
      <c r="O241">
        <f t="shared" si="56"/>
        <v>1</v>
      </c>
      <c r="P241">
        <f t="shared" si="54"/>
        <v>1</v>
      </c>
    </row>
    <row r="242" spans="1:19" hidden="1" outlineLevel="1">
      <c r="A242" t="s">
        <v>463</v>
      </c>
      <c r="B242" t="s">
        <v>136</v>
      </c>
      <c r="C242" t="s">
        <v>416</v>
      </c>
      <c r="D242">
        <f>SUMIF($C$207:$C$212,B242,$E$207:$E$212)*_xlfn.XLOOKUP(B242,'Practice Inputs'!$A$28:$A$47,'Practice Inputs'!$L$28:$L$47,1920)*60*N242</f>
        <v>6900</v>
      </c>
      <c r="E242" cm="1">
        <f t="array" ref="E242">IFERROR((SUMIF($C$207:$C$212,B242,$E$207:$E$212)*_xlfn.XLOOKUP(B242,'Practice Inputs'!$A$28:$A$47,'Practice Inputs'!$L$28:$L$47,1920)*60)/_xlfn.XLOOKUP(B242,'Practice Inputs'!$A$54:$A$67,'Practice Inputs'!$I$54:$I$67/'Practice Inputs'!$J$54:$J$67,0),0)*O242</f>
        <v>0</v>
      </c>
      <c r="F242" s="38">
        <f>E242*_xlfn.XLOOKUP($B242,'Practice Inputs'!$A$54:$A$67,'Practice Inputs'!$K$54:$K$67,0)</f>
        <v>0</v>
      </c>
      <c r="G242" s="38">
        <v>0</v>
      </c>
      <c r="H242" s="38">
        <f t="shared" ref="H242" si="59">SUM(F242:G242)</f>
        <v>0</v>
      </c>
      <c r="I242" s="38">
        <f>D242*_xlfn.XLOOKUP($B242,'Practice Inputs'!$A$28:$A$47,'Practice Inputs'!$J$28:$J$47,0)</f>
        <v>17503.394034375</v>
      </c>
      <c r="J242" s="38">
        <f>E242*'Practice Inputs'!$E$162*_xlfn.XLOOKUP(B242,'Practice Inputs'!$A$54:$A$67,'Practice Inputs'!$I$54:$I$67,0)*P242</f>
        <v>0</v>
      </c>
      <c r="K242">
        <v>0</v>
      </c>
      <c r="L242" s="38">
        <f>SUM(I242:K242)</f>
        <v>17503.394034375</v>
      </c>
      <c r="M242" s="38">
        <f>H242-L242</f>
        <v>-17503.394034375</v>
      </c>
      <c r="N242">
        <f>IF(C242="Repurpose",0,1)</f>
        <v>1</v>
      </c>
      <c r="O242">
        <f>IF(C242="Repurpose",-1,IF(C242="Add",1,0))</f>
        <v>0</v>
      </c>
      <c r="P242">
        <f t="shared" si="54"/>
        <v>0</v>
      </c>
    </row>
    <row r="243" spans="1:19" hidden="1" outlineLevel="1">
      <c r="B243" t="s">
        <v>284</v>
      </c>
      <c r="C243" t="s">
        <v>416</v>
      </c>
      <c r="D243">
        <f>SUMIF($C$207:$C$212,B243,$E$207:$E$212)*_xlfn.XLOOKUP(B243,'Practice Inputs'!$A$28:$A$47,'Practice Inputs'!$L$28:$L$47,1920)*60*N243</f>
        <v>0</v>
      </c>
      <c r="E243" cm="1">
        <f t="array" ref="E243">IFERROR((SUMIF($C$207:$C$212,B243,$E$207:$E$212)*_xlfn.XLOOKUP(B243,'Practice Inputs'!$A$28:$A$47,'Practice Inputs'!$L$28:$L$47,1920)*60)/_xlfn.XLOOKUP(B243,'Practice Inputs'!$A$54:$A$67,'Practice Inputs'!$I$54:$I$67/'Practice Inputs'!$J$54:$J$67,0),0)*O243</f>
        <v>0</v>
      </c>
      <c r="F243" s="38">
        <f>E243*_xlfn.XLOOKUP($B243,'Practice Inputs'!$A$54:$A$67,'Practice Inputs'!$K$54:$K$67,0)</f>
        <v>0</v>
      </c>
      <c r="G243" s="38">
        <v>0</v>
      </c>
      <c r="H243" s="38">
        <f t="shared" ref="H243:H244" si="60">SUM(F243:G243)</f>
        <v>0</v>
      </c>
      <c r="I243" s="38">
        <f>D243*_xlfn.XLOOKUP($B243,'Practice Inputs'!$A$28:$A$47,'Practice Inputs'!$J$28:$J$47,0)</f>
        <v>0</v>
      </c>
      <c r="J243" s="38">
        <f>E243*'Practice Inputs'!$E$162*_xlfn.XLOOKUP(B243,'Practice Inputs'!$A$54:$A$67,'Practice Inputs'!$I$54:$I$67,0)*P243</f>
        <v>0</v>
      </c>
      <c r="K243">
        <v>0</v>
      </c>
      <c r="L243" s="38">
        <f t="shared" ref="L243:L244" si="61">SUM(I243:K243)</f>
        <v>0</v>
      </c>
      <c r="M243" s="38">
        <f t="shared" ref="M243:M244" si="62">H243-L243</f>
        <v>0</v>
      </c>
      <c r="N243">
        <f t="shared" ref="N243:N244" si="63">IF(C243="Repurpose",0,1)</f>
        <v>1</v>
      </c>
      <c r="O243">
        <f t="shared" ref="O243:O244" si="64">IF(C243="Repurpose",-1,IF(C243="Add",1,0))</f>
        <v>0</v>
      </c>
      <c r="P243">
        <f t="shared" si="54"/>
        <v>0</v>
      </c>
    </row>
    <row r="244" spans="1:19" hidden="1" outlineLevel="1">
      <c r="B244" t="s">
        <v>90</v>
      </c>
      <c r="C244" t="s">
        <v>416</v>
      </c>
      <c r="D244">
        <f>SUMIF($C$207:$C$212,B244,$E$207:$E$212)*_xlfn.XLOOKUP(B244,'Practice Inputs'!$A$28:$A$47,'Practice Inputs'!$L$28:$L$47,1920)*60*N244</f>
        <v>0</v>
      </c>
      <c r="E244" cm="1">
        <f t="array" ref="E244">IFERROR((SUMIF($C$207:$C$212,B244,$E$207:$E$212)*_xlfn.XLOOKUP(B244,'Practice Inputs'!$A$28:$A$47,'Practice Inputs'!$L$28:$L$47,1920)*60)/_xlfn.XLOOKUP(B244,'Practice Inputs'!$A$54:$A$67,'Practice Inputs'!$I$54:$I$67/'Practice Inputs'!$J$54:$J$67,0),0)*O244</f>
        <v>0</v>
      </c>
      <c r="F244" s="38">
        <f>E244*_xlfn.XLOOKUP($B244,'Practice Inputs'!$A$54:$A$67,'Practice Inputs'!$K$54:$K$67,0)</f>
        <v>0</v>
      </c>
      <c r="G244" s="38">
        <v>0</v>
      </c>
      <c r="H244" s="38">
        <f t="shared" si="60"/>
        <v>0</v>
      </c>
      <c r="I244" s="38">
        <f>D244*_xlfn.XLOOKUP($B244,'Practice Inputs'!$A$28:$A$47,'Practice Inputs'!$J$28:$J$47,0)</f>
        <v>0</v>
      </c>
      <c r="J244" s="38">
        <f>E244*'Practice Inputs'!$E$162*_xlfn.XLOOKUP(B244,'Practice Inputs'!$A$54:$A$67,'Practice Inputs'!$I$54:$I$67,0)*P244</f>
        <v>0</v>
      </c>
      <c r="K244">
        <v>0</v>
      </c>
      <c r="L244" s="38">
        <f t="shared" si="61"/>
        <v>0</v>
      </c>
      <c r="M244" s="38">
        <f t="shared" si="62"/>
        <v>0</v>
      </c>
      <c r="N244">
        <f t="shared" si="63"/>
        <v>1</v>
      </c>
      <c r="O244">
        <f t="shared" si="64"/>
        <v>0</v>
      </c>
      <c r="P244">
        <f t="shared" si="54"/>
        <v>0</v>
      </c>
    </row>
    <row r="245" spans="1:19" hidden="1" outlineLevel="1">
      <c r="A245" s="16" t="s">
        <v>464</v>
      </c>
      <c r="E245" s="30"/>
      <c r="F245" s="38"/>
      <c r="G245" s="38"/>
      <c r="H245" s="38">
        <f t="shared" ref="H245" si="65">SUM(F245:G245)</f>
        <v>0</v>
      </c>
      <c r="I245" s="38"/>
      <c r="J245" s="38">
        <f>SUM(D222:D224)</f>
        <v>0</v>
      </c>
      <c r="L245" s="38">
        <f t="shared" ref="L245" si="66">SUM(I245:K245)</f>
        <v>0</v>
      </c>
      <c r="M245" s="38">
        <f t="shared" ref="M245" si="67">H245-L245</f>
        <v>0</v>
      </c>
    </row>
    <row r="246" spans="1:19" hidden="1" outlineLevel="1">
      <c r="A246" s="32"/>
      <c r="B246" s="57" t="s">
        <v>92</v>
      </c>
      <c r="D246" s="58" t="e">
        <f t="shared" ref="D246:M246" si="68">SUM(D230:D245)</f>
        <v>#VALUE!</v>
      </c>
      <c r="E246" s="58">
        <f t="shared" si="68"/>
        <v>-774.73566364029864</v>
      </c>
      <c r="F246" s="59">
        <f t="shared" si="68"/>
        <v>-26348.790843028142</v>
      </c>
      <c r="G246" s="59">
        <f t="shared" si="68"/>
        <v>0</v>
      </c>
      <c r="H246" s="59">
        <f t="shared" si="68"/>
        <v>-26348.790843028142</v>
      </c>
      <c r="I246" s="59" t="e">
        <f t="shared" si="68"/>
        <v>#VALUE!</v>
      </c>
      <c r="J246" s="59">
        <f>SUM(J230:J245)</f>
        <v>-22206.009869564765</v>
      </c>
      <c r="K246" s="59">
        <f t="shared" si="68"/>
        <v>0</v>
      </c>
      <c r="L246" s="59" t="e">
        <f t="shared" si="68"/>
        <v>#VALUE!</v>
      </c>
      <c r="M246" s="59" t="e">
        <f t="shared" si="68"/>
        <v>#VALUE!</v>
      </c>
    </row>
    <row r="247" spans="1:19" hidden="1" outlineLevel="1" collapsed="1">
      <c r="A247" s="23"/>
      <c r="D247" s="32"/>
      <c r="E247" s="32"/>
      <c r="F247" s="32"/>
    </row>
    <row r="248" spans="1:19" collapsed="1">
      <c r="B248" s="56"/>
      <c r="C248" s="3"/>
    </row>
    <row r="249" spans="1:19" ht="18.899999999999999" thickBot="1">
      <c r="A249" s="128" t="s">
        <v>243</v>
      </c>
      <c r="B249" s="119"/>
      <c r="C249" s="119"/>
      <c r="D249" s="119"/>
      <c r="E249" s="119"/>
      <c r="F249" s="119"/>
      <c r="G249" s="119"/>
      <c r="H249" s="119"/>
      <c r="I249" s="128"/>
      <c r="J249" s="119"/>
      <c r="K249" s="119"/>
      <c r="L249" s="119"/>
      <c r="M249" s="119"/>
      <c r="N249" s="119"/>
      <c r="O249" s="119"/>
      <c r="P249" s="119"/>
      <c r="Q249" s="119"/>
      <c r="R249" s="119"/>
      <c r="S249" s="119"/>
    </row>
    <row r="250" spans="1:19">
      <c r="B250" s="2"/>
      <c r="C250" s="50"/>
    </row>
    <row r="251" spans="1:19" ht="18.45">
      <c r="A251" s="181" t="s">
        <v>28</v>
      </c>
      <c r="B251" s="2"/>
      <c r="C251" s="50"/>
    </row>
    <row r="252" spans="1:19">
      <c r="B252" s="180" t="s">
        <v>465</v>
      </c>
      <c r="C252" s="115" t="s">
        <v>73</v>
      </c>
      <c r="D252" s="180" t="s">
        <v>466</v>
      </c>
    </row>
    <row r="253" spans="1:19">
      <c r="A253" s="169" t="s">
        <v>467</v>
      </c>
      <c r="B253" s="180"/>
      <c r="C253" s="115"/>
      <c r="D253" s="180"/>
      <c r="E253" s="165"/>
      <c r="F253" s="165"/>
      <c r="G253" s="165"/>
    </row>
    <row r="254" spans="1:19">
      <c r="A254" t="s">
        <v>468</v>
      </c>
      <c r="B254" s="34"/>
      <c r="C254" s="157">
        <f>5%*used_esu</f>
        <v>250</v>
      </c>
      <c r="D254" s="102">
        <f>IF(B254="",C254,B254)</f>
        <v>250</v>
      </c>
    </row>
    <row r="255" spans="1:19">
      <c r="A255" t="s">
        <v>469</v>
      </c>
      <c r="B255" s="159"/>
      <c r="C255" s="160">
        <v>289.17959999999999</v>
      </c>
      <c r="D255" s="161">
        <f>IF(B255="",C255,B255)</f>
        <v>289.17959999999999</v>
      </c>
    </row>
    <row r="256" spans="1:19">
      <c r="B256" s="160"/>
      <c r="C256" s="160"/>
      <c r="D256" s="161"/>
    </row>
    <row r="257" spans="1:7">
      <c r="B257" s="180" t="s">
        <v>264</v>
      </c>
      <c r="D257" s="115" t="s">
        <v>73</v>
      </c>
      <c r="F257" s="180" t="s">
        <v>266</v>
      </c>
    </row>
    <row r="258" spans="1:7">
      <c r="A258" t="s">
        <v>134</v>
      </c>
      <c r="B258" s="253" t="s">
        <v>51</v>
      </c>
      <c r="C258" s="253" t="s">
        <v>405</v>
      </c>
      <c r="D258" s="160" t="s">
        <v>51</v>
      </c>
      <c r="E258" s="160" t="s">
        <v>405</v>
      </c>
      <c r="F258" s="160" t="s">
        <v>51</v>
      </c>
      <c r="G258" s="160" t="s">
        <v>405</v>
      </c>
    </row>
    <row r="259" spans="1:7">
      <c r="A259" s="299" t="s">
        <v>136</v>
      </c>
      <c r="B259" s="167"/>
      <c r="C259" s="168"/>
      <c r="D259" s="162">
        <v>4</v>
      </c>
      <c r="E259" s="163">
        <v>0</v>
      </c>
      <c r="F259" s="164">
        <f>IF(B259="",D259,B259)</f>
        <v>4</v>
      </c>
      <c r="G259" s="165">
        <f t="shared" ref="G259:G263" si="69">IF(C259="",E259,C259)</f>
        <v>0</v>
      </c>
    </row>
    <row r="260" spans="1:7">
      <c r="A260" s="299" t="s">
        <v>284</v>
      </c>
      <c r="B260" s="167"/>
      <c r="C260" s="168"/>
      <c r="D260" s="162">
        <v>0</v>
      </c>
      <c r="E260" s="163">
        <v>0</v>
      </c>
      <c r="F260" s="164">
        <f>IF(B260="",D260,B260)</f>
        <v>0</v>
      </c>
      <c r="G260" s="165">
        <f t="shared" si="69"/>
        <v>0</v>
      </c>
    </row>
    <row r="261" spans="1:7">
      <c r="A261" s="299" t="s">
        <v>90</v>
      </c>
      <c r="B261" s="167"/>
      <c r="C261" s="168"/>
      <c r="D261" s="162">
        <v>0</v>
      </c>
      <c r="E261" s="163">
        <v>0</v>
      </c>
      <c r="F261" s="164">
        <f>IF(B261="",D261,B261)</f>
        <v>0</v>
      </c>
      <c r="G261" s="165">
        <f t="shared" si="69"/>
        <v>0</v>
      </c>
    </row>
    <row r="262" spans="1:7">
      <c r="A262" s="299"/>
      <c r="B262" s="167"/>
      <c r="C262" s="168"/>
      <c r="D262" s="162"/>
      <c r="E262" s="163"/>
      <c r="F262" s="164">
        <f>IF(B262="",D262,B262)</f>
        <v>0</v>
      </c>
      <c r="G262" s="165">
        <f t="shared" si="69"/>
        <v>0</v>
      </c>
    </row>
    <row r="263" spans="1:7">
      <c r="A263" s="299"/>
      <c r="B263" s="167"/>
      <c r="C263" s="168"/>
      <c r="D263" s="162"/>
      <c r="E263" s="163"/>
      <c r="F263" s="164">
        <f>IF(B263="",D263,B263)</f>
        <v>0</v>
      </c>
      <c r="G263" s="165">
        <f t="shared" si="69"/>
        <v>0</v>
      </c>
    </row>
    <row r="264" spans="1:7">
      <c r="A264" s="165"/>
      <c r="B264" s="165"/>
      <c r="C264" s="165"/>
      <c r="D264" s="165"/>
      <c r="E264" s="165"/>
      <c r="F264" s="165"/>
      <c r="G264" s="165"/>
    </row>
    <row r="265" spans="1:7">
      <c r="A265" s="57" t="s">
        <v>470</v>
      </c>
      <c r="B265" s="180" t="s">
        <v>264</v>
      </c>
      <c r="C265" s="115" t="s">
        <v>73</v>
      </c>
      <c r="D265" s="180" t="s">
        <v>266</v>
      </c>
    </row>
    <row r="266" spans="1:7">
      <c r="A266" t="s">
        <v>471</v>
      </c>
      <c r="B266">
        <f>'Proactive preventative'!F37</f>
        <v>0</v>
      </c>
      <c r="C266" s="123">
        <f>C254</f>
        <v>250</v>
      </c>
      <c r="D266">
        <f>IF('Proactive preventative'!F37="",C266,B266)</f>
        <v>250</v>
      </c>
    </row>
    <row r="267" spans="1:7">
      <c r="A267" t="s">
        <v>472</v>
      </c>
      <c r="B267" s="34"/>
      <c r="C267" s="157">
        <v>0</v>
      </c>
      <c r="D267" s="102">
        <f>IF(B267="",C267,B267)</f>
        <v>0</v>
      </c>
    </row>
    <row r="268" spans="1:7">
      <c r="A268" t="s">
        <v>473</v>
      </c>
      <c r="D268">
        <f>D266-D267</f>
        <v>250</v>
      </c>
    </row>
    <row r="269" spans="1:7">
      <c r="A269" t="s">
        <v>121</v>
      </c>
      <c r="B269" s="158">
        <f>'Proactive preventative'!F38</f>
        <v>0</v>
      </c>
      <c r="C269" s="157">
        <v>0</v>
      </c>
      <c r="D269">
        <f>B269</f>
        <v>0</v>
      </c>
      <c r="F269" s="57"/>
    </row>
    <row r="270" spans="1:7">
      <c r="A270" t="s">
        <v>474</v>
      </c>
      <c r="B270" s="159"/>
      <c r="C270" s="160">
        <f>D255</f>
        <v>289.17959999999999</v>
      </c>
      <c r="D270" s="161">
        <f>IF(B270="",C270,B270)</f>
        <v>289.17959999999999</v>
      </c>
    </row>
    <row r="272" spans="1:7">
      <c r="A272" s="39" t="s">
        <v>475</v>
      </c>
      <c r="B272" s="180" t="s">
        <v>264</v>
      </c>
      <c r="D272" s="115" t="s">
        <v>73</v>
      </c>
      <c r="F272" s="180" t="s">
        <v>266</v>
      </c>
    </row>
    <row r="273" spans="1:19" ht="29.15">
      <c r="B273" s="166" t="s">
        <v>476</v>
      </c>
      <c r="C273" s="253" t="s">
        <v>477</v>
      </c>
      <c r="D273" s="160" t="s">
        <v>476</v>
      </c>
      <c r="E273" s="160" t="s">
        <v>405</v>
      </c>
      <c r="F273" s="166" t="s">
        <v>476</v>
      </c>
      <c r="G273" s="253" t="s">
        <v>478</v>
      </c>
    </row>
    <row r="274" spans="1:19">
      <c r="A274" s="299" t="s">
        <v>90</v>
      </c>
      <c r="B274" s="167"/>
      <c r="C274" s="168"/>
      <c r="D274" s="162">
        <v>75</v>
      </c>
      <c r="E274" s="163">
        <v>0</v>
      </c>
      <c r="F274" s="164">
        <f>IF(B274="",D274,B274)</f>
        <v>75</v>
      </c>
      <c r="G274" s="165">
        <f>IF(C274="",E274,C274)/1.15</f>
        <v>0</v>
      </c>
    </row>
    <row r="275" spans="1:19">
      <c r="A275" s="299" t="s">
        <v>136</v>
      </c>
      <c r="B275" s="167"/>
      <c r="C275" s="168"/>
      <c r="D275" s="162">
        <v>15</v>
      </c>
      <c r="E275" s="163">
        <v>0</v>
      </c>
      <c r="F275" s="164">
        <f>IF(B275="",D275,B275)</f>
        <v>15</v>
      </c>
      <c r="G275" s="165">
        <f t="shared" ref="G275:G276" si="70">IF(C275="",E275,C275)/1.15</f>
        <v>0</v>
      </c>
    </row>
    <row r="276" spans="1:19">
      <c r="A276" s="299"/>
      <c r="B276" s="167"/>
      <c r="C276" s="168"/>
      <c r="D276" s="162">
        <v>0</v>
      </c>
      <c r="E276" s="163">
        <v>0</v>
      </c>
      <c r="F276" s="164">
        <f>IF(B276="",D276,B276)</f>
        <v>0</v>
      </c>
      <c r="G276" s="165">
        <f t="shared" si="70"/>
        <v>0</v>
      </c>
    </row>
    <row r="278" spans="1:19" ht="29.15">
      <c r="A278" s="39" t="s">
        <v>479</v>
      </c>
      <c r="B278" s="166" t="s">
        <v>51</v>
      </c>
      <c r="C278" s="253" t="s">
        <v>477</v>
      </c>
      <c r="D278" s="160" t="s">
        <v>51</v>
      </c>
      <c r="E278" s="160" t="s">
        <v>405</v>
      </c>
      <c r="F278" s="166" t="s">
        <v>51</v>
      </c>
      <c r="G278" s="253" t="s">
        <v>478</v>
      </c>
    </row>
    <row r="279" spans="1:19">
      <c r="A279" s="299" t="s">
        <v>136</v>
      </c>
      <c r="B279" s="167"/>
      <c r="C279" s="168"/>
      <c r="D279" s="162">
        <v>1</v>
      </c>
      <c r="E279" s="163">
        <v>0</v>
      </c>
      <c r="F279" s="164">
        <f>IF(B279="",D279,B279)</f>
        <v>1</v>
      </c>
      <c r="G279" s="165">
        <f>IF(C279="",E279,C279)/1.15</f>
        <v>0</v>
      </c>
    </row>
    <row r="280" spans="1:19">
      <c r="A280" s="299" t="s">
        <v>284</v>
      </c>
      <c r="B280" s="167"/>
      <c r="C280" s="168"/>
      <c r="D280" s="162">
        <v>0</v>
      </c>
      <c r="E280" s="163">
        <v>0</v>
      </c>
      <c r="F280" s="164">
        <f>IF(B280="",D280,B280)</f>
        <v>0</v>
      </c>
      <c r="G280" s="165">
        <f t="shared" ref="G280:G283" si="71">IF(C280="",E280,C280)/1.15</f>
        <v>0</v>
      </c>
    </row>
    <row r="281" spans="1:19">
      <c r="A281" s="299" t="s">
        <v>90</v>
      </c>
      <c r="B281" s="167"/>
      <c r="C281" s="168"/>
      <c r="D281" s="162">
        <v>4</v>
      </c>
      <c r="E281" s="163">
        <v>0</v>
      </c>
      <c r="F281" s="164">
        <f>IF(B281="",D281,B281)</f>
        <v>4</v>
      </c>
      <c r="G281" s="165">
        <f t="shared" si="71"/>
        <v>0</v>
      </c>
    </row>
    <row r="282" spans="1:19">
      <c r="A282" s="299"/>
      <c r="B282" s="167"/>
      <c r="C282" s="168"/>
      <c r="D282" s="162"/>
      <c r="E282" s="163"/>
      <c r="F282" s="164">
        <f>IF(B282="",D282,B282)</f>
        <v>0</v>
      </c>
      <c r="G282" s="165">
        <f>IF(C282="",E282,C282)/1.15</f>
        <v>0</v>
      </c>
      <c r="I282" s="16"/>
      <c r="O282" s="30"/>
      <c r="P282" s="38"/>
      <c r="Q282" s="38"/>
      <c r="R282" s="38"/>
      <c r="S282" s="38"/>
    </row>
    <row r="283" spans="1:19">
      <c r="A283" s="299"/>
      <c r="B283" s="167"/>
      <c r="C283" s="168"/>
      <c r="D283" s="162"/>
      <c r="E283" s="163"/>
      <c r="F283" s="164">
        <f>IF(B283="",D283,B283)</f>
        <v>0</v>
      </c>
      <c r="G283" s="165">
        <f t="shared" si="71"/>
        <v>0</v>
      </c>
      <c r="I283" s="16"/>
      <c r="O283" s="30"/>
      <c r="P283" s="38"/>
      <c r="Q283" s="38"/>
      <c r="R283" s="38"/>
      <c r="S283" s="38"/>
    </row>
    <row r="284" spans="1:19">
      <c r="I284" s="32"/>
      <c r="J284" s="32"/>
      <c r="K284" s="32"/>
      <c r="N284" s="58"/>
      <c r="O284" s="58"/>
      <c r="P284" s="59"/>
      <c r="Q284" s="59"/>
      <c r="R284" s="59"/>
      <c r="S284" s="59"/>
    </row>
    <row r="285" spans="1:19">
      <c r="A285" s="39" t="s">
        <v>480</v>
      </c>
      <c r="B285" s="180" t="s">
        <v>264</v>
      </c>
      <c r="C285" s="115" t="s">
        <v>73</v>
      </c>
      <c r="D285" s="180" t="s">
        <v>266</v>
      </c>
    </row>
    <row r="286" spans="1:19">
      <c r="B286" s="165"/>
      <c r="C286" s="165"/>
      <c r="D286" s="165"/>
      <c r="E286" s="165"/>
    </row>
    <row r="287" spans="1:19">
      <c r="A287" t="s">
        <v>481</v>
      </c>
      <c r="B287" s="158">
        <f>'Proactive preventative'!$F$39</f>
        <v>0</v>
      </c>
      <c r="C287" s="157" t="s">
        <v>123</v>
      </c>
      <c r="D287" s="102" t="str">
        <f>IF('Proactive preventative'!F39="",C287,B287)</f>
        <v>Monthly</v>
      </c>
      <c r="E287" s="102"/>
      <c r="F287" s="174" t="s">
        <v>482</v>
      </c>
      <c r="G287" s="174">
        <v>4</v>
      </c>
    </row>
    <row r="288" spans="1:19">
      <c r="A288" t="s">
        <v>483</v>
      </c>
      <c r="B288" s="34"/>
      <c r="C288" s="157">
        <v>60</v>
      </c>
      <c r="D288" s="102">
        <v>60</v>
      </c>
      <c r="F288" s="174" t="s">
        <v>484</v>
      </c>
      <c r="G288" s="174">
        <v>2</v>
      </c>
    </row>
    <row r="289" spans="1:7">
      <c r="A289" t="s">
        <v>485</v>
      </c>
      <c r="B289" s="34"/>
      <c r="C289" s="157">
        <v>10</v>
      </c>
      <c r="D289" s="102">
        <v>10</v>
      </c>
      <c r="F289" s="174" t="s">
        <v>123</v>
      </c>
      <c r="G289" s="174">
        <v>1</v>
      </c>
    </row>
    <row r="291" spans="1:7">
      <c r="A291" s="39" t="s">
        <v>486</v>
      </c>
      <c r="B291" t="s">
        <v>135</v>
      </c>
    </row>
    <row r="292" spans="1:7">
      <c r="A292" s="299" t="s">
        <v>136</v>
      </c>
      <c r="B292" s="167"/>
      <c r="C292" s="157">
        <v>1</v>
      </c>
      <c r="D292" s="102">
        <f t="shared" ref="D292:D298" si="72">IF(B292="",C292,B292)</f>
        <v>1</v>
      </c>
    </row>
    <row r="293" spans="1:7">
      <c r="A293" s="299" t="s">
        <v>90</v>
      </c>
      <c r="B293" s="167"/>
      <c r="C293" s="157">
        <v>1</v>
      </c>
      <c r="D293" s="102">
        <f t="shared" si="72"/>
        <v>1</v>
      </c>
    </row>
    <row r="294" spans="1:7">
      <c r="A294" s="299"/>
      <c r="B294" s="167"/>
      <c r="C294" s="157">
        <v>0</v>
      </c>
      <c r="D294" s="102">
        <f t="shared" si="72"/>
        <v>0</v>
      </c>
    </row>
    <row r="295" spans="1:7">
      <c r="A295" s="299"/>
      <c r="B295" s="167"/>
      <c r="C295" s="157">
        <v>0</v>
      </c>
      <c r="D295" s="102">
        <f t="shared" si="72"/>
        <v>0</v>
      </c>
    </row>
    <row r="296" spans="1:7">
      <c r="A296" s="299"/>
      <c r="B296" s="167"/>
      <c r="C296" s="157">
        <v>0</v>
      </c>
      <c r="D296" s="102">
        <f t="shared" si="72"/>
        <v>0</v>
      </c>
    </row>
    <row r="297" spans="1:7">
      <c r="A297" s="299"/>
      <c r="B297" s="167"/>
      <c r="C297" s="157">
        <v>0</v>
      </c>
      <c r="D297" s="102">
        <f t="shared" si="72"/>
        <v>0</v>
      </c>
    </row>
    <row r="298" spans="1:7">
      <c r="A298" s="299"/>
      <c r="B298" s="167"/>
      <c r="C298" s="157">
        <v>0</v>
      </c>
      <c r="D298" s="102">
        <f t="shared" si="72"/>
        <v>0</v>
      </c>
    </row>
    <row r="300" spans="1:7">
      <c r="A300" s="39" t="s">
        <v>385</v>
      </c>
      <c r="B300" s="180"/>
      <c r="C300" s="115"/>
      <c r="D300" s="180"/>
      <c r="E300" s="180"/>
    </row>
    <row r="301" spans="1:7">
      <c r="A301" s="103"/>
      <c r="B301" s="41"/>
      <c r="C301" s="149">
        <v>0</v>
      </c>
      <c r="D301" s="70">
        <f>IF(B301="",C301,B301)</f>
        <v>0</v>
      </c>
    </row>
    <row r="302" spans="1:7">
      <c r="A302" s="103"/>
      <c r="B302" s="41"/>
      <c r="C302" s="149">
        <v>0</v>
      </c>
      <c r="D302" s="70">
        <f>IF(B302="",C302,B302)</f>
        <v>0</v>
      </c>
    </row>
    <row r="303" spans="1:7">
      <c r="A303" s="103"/>
      <c r="B303" s="41"/>
      <c r="C303" s="149">
        <v>0</v>
      </c>
      <c r="D303" s="70">
        <f>IF(B303="",C303,B303)</f>
        <v>0</v>
      </c>
    </row>
    <row r="305" spans="1:25">
      <c r="A305" s="39" t="s">
        <v>386</v>
      </c>
      <c r="B305" s="180"/>
      <c r="C305" s="115"/>
      <c r="D305" s="180"/>
      <c r="E305" s="180"/>
    </row>
    <row r="306" spans="1:25">
      <c r="A306" s="186"/>
      <c r="B306" s="185"/>
      <c r="C306" s="149">
        <v>0</v>
      </c>
      <c r="D306" s="70">
        <f>IF(B306="",C306,B306)</f>
        <v>0</v>
      </c>
    </row>
    <row r="307" spans="1:25">
      <c r="A307" s="187"/>
      <c r="B307" s="185"/>
      <c r="C307" s="149">
        <v>0</v>
      </c>
      <c r="D307" s="70">
        <f>IF(B307="",C307,B307)</f>
        <v>0</v>
      </c>
    </row>
    <row r="308" spans="1:25">
      <c r="A308" s="187"/>
      <c r="B308" s="185"/>
      <c r="C308" s="149">
        <v>0</v>
      </c>
      <c r="D308" s="70">
        <f>IF(B308="",C308,B308)</f>
        <v>0</v>
      </c>
    </row>
    <row r="309" spans="1:25">
      <c r="N309" t="s">
        <v>396</v>
      </c>
      <c r="X309" s="16"/>
      <c r="Y309" s="16"/>
    </row>
    <row r="310" spans="1:25">
      <c r="N310" t="s">
        <v>397</v>
      </c>
    </row>
    <row r="311" spans="1:25" ht="18.45" hidden="1" outlineLevel="1">
      <c r="A311" s="181" t="s">
        <v>398</v>
      </c>
      <c r="N311" t="s">
        <v>399</v>
      </c>
    </row>
    <row r="312" spans="1:25" hidden="1" outlineLevel="1">
      <c r="A312" s="57"/>
      <c r="D312" s="57" t="s">
        <v>392</v>
      </c>
      <c r="E312" s="57"/>
      <c r="F312" s="57" t="s">
        <v>56</v>
      </c>
      <c r="G312" s="57"/>
      <c r="I312" s="57" t="s">
        <v>88</v>
      </c>
      <c r="N312" s="57" t="s">
        <v>400</v>
      </c>
    </row>
    <row r="313" spans="1:25" hidden="1" outlineLevel="1">
      <c r="A313" s="57" t="s">
        <v>401</v>
      </c>
      <c r="B313" s="57" t="s">
        <v>134</v>
      </c>
      <c r="C313" s="57" t="s">
        <v>402</v>
      </c>
      <c r="D313" s="57" t="s">
        <v>403</v>
      </c>
      <c r="E313" s="57" t="s">
        <v>51</v>
      </c>
      <c r="F313" s="57" t="s">
        <v>405</v>
      </c>
      <c r="G313" s="57" t="s">
        <v>205</v>
      </c>
      <c r="H313" s="57" t="s">
        <v>406</v>
      </c>
      <c r="I313" s="57" t="s">
        <v>407</v>
      </c>
      <c r="J313" s="57" t="s">
        <v>408</v>
      </c>
      <c r="K313" s="57" t="s">
        <v>409</v>
      </c>
      <c r="L313" s="57" t="s">
        <v>206</v>
      </c>
      <c r="M313" s="57" t="s">
        <v>410</v>
      </c>
      <c r="N313" s="57" t="s">
        <v>411</v>
      </c>
      <c r="O313" s="57" t="s">
        <v>51</v>
      </c>
      <c r="P313" s="57" t="s">
        <v>412</v>
      </c>
    </row>
    <row r="314" spans="1:25" hidden="1" outlineLevel="1">
      <c r="A314" t="s">
        <v>487</v>
      </c>
      <c r="G314" s="38">
        <f>('Change Inputs'!C270-'Change Inputs'!D255)*'Change Inputs'!D254</f>
        <v>0</v>
      </c>
      <c r="H314" s="38">
        <f>SUM(F314:G314)</f>
        <v>0</v>
      </c>
      <c r="L314" s="38">
        <f>SUM(I314:K314)</f>
        <v>0</v>
      </c>
      <c r="M314" s="38">
        <f>H314-L314</f>
        <v>0</v>
      </c>
      <c r="N314">
        <f t="shared" ref="N314:N334" si="73">IF(C314="Repurpose",0,1)</f>
        <v>1</v>
      </c>
      <c r="O314">
        <f t="shared" ref="O314:O334" si="74">IF(C314="Repurpose",-1,IF(C314="Add",1,0))</f>
        <v>0</v>
      </c>
      <c r="P314">
        <f>IF(C314="Add",1,0)</f>
        <v>0</v>
      </c>
    </row>
    <row r="315" spans="1:25" hidden="1" outlineLevel="1">
      <c r="A315" t="s">
        <v>467</v>
      </c>
      <c r="B315" t="str">
        <f>'Change Inputs'!A259</f>
        <v>General practitioner</v>
      </c>
      <c r="C315" t="s">
        <v>440</v>
      </c>
      <c r="D315">
        <f>E315*_xlfn.XLOOKUP($B315,'Practice Inputs'!$A$54:$A$67,'Practice Inputs'!$I$54:$I$67,0)</f>
        <v>-15000</v>
      </c>
      <c r="E315" s="30">
        <f>-$D$254*F259</f>
        <v>-1000</v>
      </c>
      <c r="F315" s="38">
        <f>E315*'Change Inputs'!G259</f>
        <v>0</v>
      </c>
      <c r="G315" s="38"/>
      <c r="H315" s="38">
        <f t="shared" ref="H315:H319" si="75">SUM(F315:G315)</f>
        <v>0</v>
      </c>
      <c r="I315" s="38">
        <f>D315*_xlfn.XLOOKUP($B315,'Practice Inputs'!$A$28:$A$47,'Practice Inputs'!$J$28:$J$47,0)</f>
        <v>-38050.856596467391</v>
      </c>
      <c r="J315" s="38">
        <f>E315*'Practice Inputs'!$E$162*_xlfn.XLOOKUP(B315,'Practice Inputs'!$A$54:$A$67,'Practice Inputs'!$I$54:$I$67,0)*P315</f>
        <v>-28662.692208106193</v>
      </c>
      <c r="L315" s="38">
        <f t="shared" ref="L315:L319" si="76">SUM(I315:K315)</f>
        <v>-66713.548804573584</v>
      </c>
      <c r="M315" s="38">
        <f t="shared" ref="M315:M319" si="77">H315-L315</f>
        <v>66713.548804573584</v>
      </c>
      <c r="N315">
        <f t="shared" si="73"/>
        <v>1</v>
      </c>
      <c r="O315">
        <f t="shared" si="74"/>
        <v>1</v>
      </c>
      <c r="P315">
        <f t="shared" ref="P315:P334" si="78">IF(C315="Add",1,0)</f>
        <v>1</v>
      </c>
    </row>
    <row r="316" spans="1:25" hidden="1" outlineLevel="1">
      <c r="B316" t="str">
        <f>'Change Inputs'!A260</f>
        <v>Nurse practitioner</v>
      </c>
      <c r="C316" t="s">
        <v>440</v>
      </c>
      <c r="D316">
        <f>E316*_xlfn.XLOOKUP($B316,'Practice Inputs'!$A$54:$A$67,'Practice Inputs'!$I$54:$I$67,0)</f>
        <v>0</v>
      </c>
      <c r="E316" s="30">
        <f>-$D$254*F260</f>
        <v>0</v>
      </c>
      <c r="F316" s="38">
        <f>E316*'Change Inputs'!G260</f>
        <v>0</v>
      </c>
      <c r="G316" s="38"/>
      <c r="H316" s="38">
        <f t="shared" si="75"/>
        <v>0</v>
      </c>
      <c r="I316" s="38">
        <f>D316*_xlfn.XLOOKUP($B316,'Practice Inputs'!$A$28:$A$47,'Practice Inputs'!$J$28:$J$47,0)</f>
        <v>0</v>
      </c>
      <c r="J316" s="38">
        <f>E316*'Practice Inputs'!$E$162*_xlfn.XLOOKUP(B316,'Practice Inputs'!$A$54:$A$67,'Practice Inputs'!$I$54:$I$67,0)*P316</f>
        <v>0</v>
      </c>
      <c r="L316" s="38">
        <f t="shared" si="76"/>
        <v>0</v>
      </c>
      <c r="M316" s="38">
        <f t="shared" si="77"/>
        <v>0</v>
      </c>
      <c r="N316">
        <f t="shared" si="73"/>
        <v>1</v>
      </c>
      <c r="O316">
        <f t="shared" si="74"/>
        <v>1</v>
      </c>
      <c r="P316">
        <f t="shared" si="78"/>
        <v>1</v>
      </c>
    </row>
    <row r="317" spans="1:25" hidden="1" outlineLevel="1">
      <c r="B317" t="str">
        <f>'Change Inputs'!A261</f>
        <v>Nurse</v>
      </c>
      <c r="C317" t="s">
        <v>440</v>
      </c>
      <c r="D317">
        <f>E317*_xlfn.XLOOKUP($B317,'Practice Inputs'!$A$54:$A$67,'Practice Inputs'!$I$54:$I$67,0)</f>
        <v>0</v>
      </c>
      <c r="E317" s="30">
        <f>-$D$254*F261</f>
        <v>0</v>
      </c>
      <c r="F317" s="38">
        <f>E317*'Change Inputs'!G261</f>
        <v>0</v>
      </c>
      <c r="G317" s="38"/>
      <c r="H317" s="38">
        <f t="shared" si="75"/>
        <v>0</v>
      </c>
      <c r="I317" s="38">
        <f>D317*_xlfn.XLOOKUP($B317,'Practice Inputs'!$A$28:$A$47,'Practice Inputs'!$J$28:$J$47,0)</f>
        <v>0</v>
      </c>
      <c r="J317" s="38">
        <f>E317*'Practice Inputs'!$E$162*_xlfn.XLOOKUP(B317,'Practice Inputs'!$A$54:$A$67,'Practice Inputs'!$I$54:$I$67,0)*P317</f>
        <v>0</v>
      </c>
      <c r="L317" s="38">
        <f t="shared" si="76"/>
        <v>0</v>
      </c>
      <c r="M317" s="38">
        <f t="shared" si="77"/>
        <v>0</v>
      </c>
      <c r="N317">
        <f t="shared" si="73"/>
        <v>1</v>
      </c>
      <c r="O317">
        <f t="shared" si="74"/>
        <v>1</v>
      </c>
      <c r="P317">
        <f t="shared" si="78"/>
        <v>1</v>
      </c>
    </row>
    <row r="318" spans="1:25" hidden="1" outlineLevel="1">
      <c r="B318">
        <f>'Change Inputs'!A262</f>
        <v>0</v>
      </c>
      <c r="C318" t="s">
        <v>440</v>
      </c>
      <c r="D318">
        <f>E318*_xlfn.XLOOKUP($B318,'Practice Inputs'!$A$54:$A$67,'Practice Inputs'!$I$54:$I$67,0)</f>
        <v>0</v>
      </c>
      <c r="E318" s="30">
        <f>-$D$254*F262</f>
        <v>0</v>
      </c>
      <c r="F318" s="38">
        <f>E318*'Change Inputs'!G262</f>
        <v>0</v>
      </c>
      <c r="G318" s="38"/>
      <c r="H318" s="38">
        <f t="shared" si="75"/>
        <v>0</v>
      </c>
      <c r="I318" s="38">
        <f>D318*_xlfn.XLOOKUP($B318,'Practice Inputs'!$A$28:$A$47,'Practice Inputs'!$J$28:$J$47,0)</f>
        <v>0</v>
      </c>
      <c r="J318" s="38">
        <f>E318*'Practice Inputs'!$E$162*_xlfn.XLOOKUP(B318,'Practice Inputs'!$A$54:$A$67,'Practice Inputs'!$I$54:$I$67,0)*P318</f>
        <v>0</v>
      </c>
      <c r="L318" s="38">
        <f t="shared" si="76"/>
        <v>0</v>
      </c>
      <c r="M318" s="38">
        <f t="shared" si="77"/>
        <v>0</v>
      </c>
      <c r="N318">
        <f t="shared" si="73"/>
        <v>1</v>
      </c>
      <c r="O318">
        <f t="shared" si="74"/>
        <v>1</v>
      </c>
      <c r="P318">
        <f t="shared" si="78"/>
        <v>1</v>
      </c>
    </row>
    <row r="319" spans="1:25" hidden="1" outlineLevel="1">
      <c r="B319">
        <f>'Change Inputs'!A263</f>
        <v>0</v>
      </c>
      <c r="C319" t="s">
        <v>440</v>
      </c>
      <c r="D319">
        <f>E319*_xlfn.XLOOKUP($B319,'Practice Inputs'!$A$54:$A$67,'Practice Inputs'!$I$54:$I$67,0)</f>
        <v>0</v>
      </c>
      <c r="E319" s="30">
        <f>-$D$254*F263</f>
        <v>0</v>
      </c>
      <c r="F319" s="38">
        <f>E319*'Change Inputs'!G263</f>
        <v>0</v>
      </c>
      <c r="G319" s="38"/>
      <c r="H319" s="38">
        <f t="shared" si="75"/>
        <v>0</v>
      </c>
      <c r="I319" s="38">
        <f>D319*_xlfn.XLOOKUP($B319,'Practice Inputs'!$A$28:$A$47,'Practice Inputs'!$J$28:$J$47,0)</f>
        <v>0</v>
      </c>
      <c r="J319" s="38">
        <f>E319*'Practice Inputs'!$E$162*_xlfn.XLOOKUP(B319,'Practice Inputs'!$A$54:$A$67,'Practice Inputs'!$I$54:$I$67,0)*P319</f>
        <v>0</v>
      </c>
      <c r="L319" s="38">
        <f t="shared" si="76"/>
        <v>0</v>
      </c>
      <c r="M319" s="38">
        <f t="shared" si="77"/>
        <v>0</v>
      </c>
      <c r="N319">
        <f t="shared" si="73"/>
        <v>1</v>
      </c>
      <c r="O319">
        <f t="shared" si="74"/>
        <v>1</v>
      </c>
      <c r="P319">
        <f t="shared" si="78"/>
        <v>1</v>
      </c>
    </row>
    <row r="320" spans="1:25" hidden="1" outlineLevel="1">
      <c r="A320" t="s">
        <v>488</v>
      </c>
      <c r="B320" t="str">
        <f>'Change Inputs'!A274</f>
        <v>Nurse</v>
      </c>
      <c r="C320" t="s">
        <v>440</v>
      </c>
      <c r="D320">
        <f>'Change Inputs'!F274*'Change Inputs'!$D$269</f>
        <v>0</v>
      </c>
      <c r="E320" s="30">
        <v>0</v>
      </c>
      <c r="F320" s="38">
        <f>'Change Inputs'!G274*'Change Inputs'!$D$269</f>
        <v>0</v>
      </c>
      <c r="G320" s="38"/>
      <c r="H320" s="38">
        <f t="shared" ref="H320:H325" si="79">SUM(F320:G320)</f>
        <v>0</v>
      </c>
      <c r="I320" s="38">
        <f>D320*_xlfn.XLOOKUP($B320,'Practice Inputs'!$A$28:$A$47,'Practice Inputs'!$J$28:$J$47,0)</f>
        <v>0</v>
      </c>
      <c r="J320" s="38">
        <f>E320*'Practice Inputs'!$E$162*_xlfn.XLOOKUP(B320,'Practice Inputs'!$A$54:$A$67,'Practice Inputs'!$I$54:$I$67,0)*P320</f>
        <v>0</v>
      </c>
      <c r="L320" s="38">
        <f t="shared" ref="L320:L325" si="80">SUM(I320:K320)</f>
        <v>0</v>
      </c>
      <c r="M320" s="38">
        <f t="shared" ref="M320:M325" si="81">H320-L320</f>
        <v>0</v>
      </c>
      <c r="N320">
        <f t="shared" si="73"/>
        <v>1</v>
      </c>
      <c r="O320">
        <f t="shared" si="74"/>
        <v>1</v>
      </c>
      <c r="P320">
        <f t="shared" si="78"/>
        <v>1</v>
      </c>
    </row>
    <row r="321" spans="1:16" hidden="1" outlineLevel="1">
      <c r="B321" t="str">
        <f>'Change Inputs'!A275</f>
        <v>General practitioner</v>
      </c>
      <c r="C321" t="s">
        <v>440</v>
      </c>
      <c r="D321">
        <f>'Change Inputs'!F275*'Change Inputs'!$D$269</f>
        <v>0</v>
      </c>
      <c r="E321" s="30">
        <v>0</v>
      </c>
      <c r="F321" s="38">
        <f>'Change Inputs'!G275*'Change Inputs'!$D$269</f>
        <v>0</v>
      </c>
      <c r="G321" s="38"/>
      <c r="H321" s="38">
        <f t="shared" si="79"/>
        <v>0</v>
      </c>
      <c r="I321" s="38">
        <f>D321*_xlfn.XLOOKUP($B321,'Practice Inputs'!$A$28:$A$47,'Practice Inputs'!$J$28:$J$47,0)</f>
        <v>0</v>
      </c>
      <c r="J321" s="38">
        <f>E321*'Practice Inputs'!$E$162*_xlfn.XLOOKUP(B321,'Practice Inputs'!$A$54:$A$67,'Practice Inputs'!$I$54:$I$67,0)*P321</f>
        <v>0</v>
      </c>
      <c r="L321" s="38">
        <f t="shared" si="80"/>
        <v>0</v>
      </c>
      <c r="M321" s="38">
        <f t="shared" si="81"/>
        <v>0</v>
      </c>
      <c r="N321">
        <f t="shared" si="73"/>
        <v>1</v>
      </c>
      <c r="O321">
        <f t="shared" si="74"/>
        <v>1</v>
      </c>
      <c r="P321">
        <f t="shared" si="78"/>
        <v>1</v>
      </c>
    </row>
    <row r="322" spans="1:16" hidden="1" outlineLevel="1">
      <c r="B322">
        <f>'Change Inputs'!A276</f>
        <v>0</v>
      </c>
      <c r="C322" t="s">
        <v>440</v>
      </c>
      <c r="D322">
        <f>'Change Inputs'!F276*'Change Inputs'!$D$269</f>
        <v>0</v>
      </c>
      <c r="E322" s="30">
        <v>0</v>
      </c>
      <c r="F322" s="38">
        <f>'Change Inputs'!G276*'Change Inputs'!$D$269</f>
        <v>0</v>
      </c>
      <c r="G322" s="38"/>
      <c r="H322" s="38">
        <f t="shared" si="79"/>
        <v>0</v>
      </c>
      <c r="I322" s="38">
        <f>D322*_xlfn.XLOOKUP($B322,'Practice Inputs'!$A$28:$A$47,'Practice Inputs'!$J$28:$J$47,0)</f>
        <v>0</v>
      </c>
      <c r="J322" s="38">
        <f>E322*'Practice Inputs'!$E$162*_xlfn.XLOOKUP(B322,'Practice Inputs'!$A$54:$A$67,'Practice Inputs'!$I$54:$I$67,0)*P322</f>
        <v>0</v>
      </c>
      <c r="L322" s="38">
        <f t="shared" si="80"/>
        <v>0</v>
      </c>
      <c r="M322" s="38">
        <f t="shared" si="81"/>
        <v>0</v>
      </c>
      <c r="N322">
        <f t="shared" si="73"/>
        <v>1</v>
      </c>
      <c r="O322">
        <f t="shared" si="74"/>
        <v>1</v>
      </c>
      <c r="P322">
        <f t="shared" si="78"/>
        <v>1</v>
      </c>
    </row>
    <row r="323" spans="1:16" hidden="1" outlineLevel="1">
      <c r="A323" t="s">
        <v>489</v>
      </c>
      <c r="B323" t="str">
        <f>'Change Inputs'!A279</f>
        <v>General practitioner</v>
      </c>
      <c r="C323" t="s">
        <v>440</v>
      </c>
      <c r="D323">
        <f>E323*_xlfn.XLOOKUP($B323,'Practice Inputs'!$A$54:$A$67,'Practice Inputs'!$I$54:$I$67,0)</f>
        <v>3750</v>
      </c>
      <c r="E323" s="30">
        <f>'Change Inputs'!$D$266*'Change Inputs'!F279</f>
        <v>250</v>
      </c>
      <c r="F323" s="38">
        <f>E323*'Change Inputs'!G279</f>
        <v>0</v>
      </c>
      <c r="G323" s="38"/>
      <c r="H323" s="38">
        <f t="shared" si="79"/>
        <v>0</v>
      </c>
      <c r="I323" s="38">
        <f>D323*_xlfn.XLOOKUP($B323,'Practice Inputs'!$A$28:$A$47,'Practice Inputs'!$J$28:$J$47,0)</f>
        <v>9512.7141491168477</v>
      </c>
      <c r="J323" s="38">
        <f>E323*'Practice Inputs'!$E$162*_xlfn.XLOOKUP(B323,'Practice Inputs'!$A$54:$A$67,'Practice Inputs'!$I$54:$I$67,0)*P323</f>
        <v>7165.6730520265482</v>
      </c>
      <c r="L323" s="38">
        <f t="shared" si="80"/>
        <v>16678.387201143396</v>
      </c>
      <c r="M323" s="38">
        <f t="shared" si="81"/>
        <v>-16678.387201143396</v>
      </c>
      <c r="N323">
        <f t="shared" si="73"/>
        <v>1</v>
      </c>
      <c r="O323">
        <f t="shared" si="74"/>
        <v>1</v>
      </c>
      <c r="P323">
        <f t="shared" si="78"/>
        <v>1</v>
      </c>
    </row>
    <row r="324" spans="1:16" hidden="1" outlineLevel="1">
      <c r="B324" t="str">
        <f>'Change Inputs'!A280</f>
        <v>Nurse practitioner</v>
      </c>
      <c r="C324" t="s">
        <v>440</v>
      </c>
      <c r="D324">
        <f>E324*_xlfn.XLOOKUP($B324,'Practice Inputs'!$A$54:$A$67,'Practice Inputs'!$I$54:$I$67,0)</f>
        <v>0</v>
      </c>
      <c r="E324" s="30">
        <f>'Change Inputs'!$D$266*'Change Inputs'!F280</f>
        <v>0</v>
      </c>
      <c r="F324" s="38">
        <f>E324*'Change Inputs'!G280</f>
        <v>0</v>
      </c>
      <c r="G324" s="38"/>
      <c r="H324" s="38">
        <f t="shared" si="79"/>
        <v>0</v>
      </c>
      <c r="I324" s="38">
        <f>D324*_xlfn.XLOOKUP($B324,'Practice Inputs'!$A$28:$A$47,'Practice Inputs'!$J$28:$J$47,0)</f>
        <v>0</v>
      </c>
      <c r="J324" s="38">
        <f>E324*'Practice Inputs'!$E$162*_xlfn.XLOOKUP(B324,'Practice Inputs'!$A$54:$A$67,'Practice Inputs'!$I$54:$I$67,0)*P324</f>
        <v>0</v>
      </c>
      <c r="L324" s="38">
        <f t="shared" si="80"/>
        <v>0</v>
      </c>
      <c r="M324" s="38">
        <f t="shared" si="81"/>
        <v>0</v>
      </c>
      <c r="N324">
        <f t="shared" si="73"/>
        <v>1</v>
      </c>
      <c r="O324">
        <f t="shared" si="74"/>
        <v>1</v>
      </c>
      <c r="P324">
        <f t="shared" si="78"/>
        <v>1</v>
      </c>
    </row>
    <row r="325" spans="1:16" hidden="1" outlineLevel="1">
      <c r="B325" t="str">
        <f>'Change Inputs'!A281</f>
        <v>Nurse</v>
      </c>
      <c r="C325" t="s">
        <v>440</v>
      </c>
      <c r="D325">
        <f>E325*_xlfn.XLOOKUP($B325,'Practice Inputs'!$A$54:$A$67,'Practice Inputs'!$I$54:$I$67,0)</f>
        <v>15000</v>
      </c>
      <c r="E325" s="30">
        <f>'Change Inputs'!$D$266*'Change Inputs'!F281</f>
        <v>1000</v>
      </c>
      <c r="F325" s="38">
        <f>E325*'Change Inputs'!G281</f>
        <v>0</v>
      </c>
      <c r="G325" s="38"/>
      <c r="H325" s="38">
        <f t="shared" si="79"/>
        <v>0</v>
      </c>
      <c r="I325" s="38">
        <f>D325*_xlfn.XLOOKUP($B325,'Practice Inputs'!$A$28:$A$47,'Practice Inputs'!$J$28:$J$47,0)</f>
        <v>12256.485089673914</v>
      </c>
      <c r="J325" s="38">
        <f>E325*'Practice Inputs'!$E$162*_xlfn.XLOOKUP(B325,'Practice Inputs'!$A$54:$A$67,'Practice Inputs'!$I$54:$I$67,0)*P325</f>
        <v>28662.692208106193</v>
      </c>
      <c r="L325" s="38">
        <f t="shared" si="80"/>
        <v>40919.177297780108</v>
      </c>
      <c r="M325" s="38">
        <f t="shared" si="81"/>
        <v>-40919.177297780108</v>
      </c>
      <c r="N325">
        <f t="shared" si="73"/>
        <v>1</v>
      </c>
      <c r="O325">
        <f t="shared" si="74"/>
        <v>1</v>
      </c>
      <c r="P325">
        <f t="shared" si="78"/>
        <v>1</v>
      </c>
    </row>
    <row r="326" spans="1:16" hidden="1" outlineLevel="1">
      <c r="B326">
        <f>'Change Inputs'!A282</f>
        <v>0</v>
      </c>
      <c r="C326" t="s">
        <v>440</v>
      </c>
      <c r="E326" s="30">
        <f>'Change Inputs'!$D$266*'Change Inputs'!F282</f>
        <v>0</v>
      </c>
      <c r="F326" s="38">
        <f>E326*'Change Inputs'!G282</f>
        <v>0</v>
      </c>
      <c r="G326" s="38"/>
      <c r="H326" s="38">
        <f t="shared" ref="H326:H334" si="82">SUM(F326:G326)</f>
        <v>0</v>
      </c>
      <c r="I326" s="38">
        <f>D326*_xlfn.XLOOKUP($B326,'Practice Inputs'!$A$28:$A$47,'Practice Inputs'!$J$28:$J$47,0)</f>
        <v>0</v>
      </c>
      <c r="J326" s="38">
        <f>E326*'Practice Inputs'!$E$162*_xlfn.XLOOKUP(B326,'Practice Inputs'!$A$54:$A$67,'Practice Inputs'!$I$54:$I$67,0)*P326</f>
        <v>0</v>
      </c>
      <c r="L326" s="38">
        <f t="shared" ref="L326:L327" si="83">SUM(I326:K326)</f>
        <v>0</v>
      </c>
      <c r="M326" s="38">
        <f t="shared" ref="M326:M327" si="84">H326-L326</f>
        <v>0</v>
      </c>
      <c r="N326">
        <f t="shared" si="73"/>
        <v>1</v>
      </c>
      <c r="O326">
        <f t="shared" si="74"/>
        <v>1</v>
      </c>
      <c r="P326">
        <f t="shared" si="78"/>
        <v>1</v>
      </c>
    </row>
    <row r="327" spans="1:16" hidden="1" outlineLevel="1">
      <c r="B327">
        <f>'Change Inputs'!A283</f>
        <v>0</v>
      </c>
      <c r="C327" t="s">
        <v>440</v>
      </c>
      <c r="E327" s="30">
        <f>'Change Inputs'!$D$266*'Change Inputs'!F283</f>
        <v>0</v>
      </c>
      <c r="F327" s="38">
        <f>E327*'Change Inputs'!G283</f>
        <v>0</v>
      </c>
      <c r="G327" s="38"/>
      <c r="H327" s="38">
        <f t="shared" si="82"/>
        <v>0</v>
      </c>
      <c r="I327" s="38">
        <f>D327*_xlfn.XLOOKUP($B327,'Practice Inputs'!$A$28:$A$47,'Practice Inputs'!$J$28:$J$47,0)</f>
        <v>0</v>
      </c>
      <c r="J327" s="38">
        <f>E327*'Practice Inputs'!$E$162*_xlfn.XLOOKUP(B327,'Practice Inputs'!$A$54:$A$67,'Practice Inputs'!$I$54:$I$67,0)*P327</f>
        <v>0</v>
      </c>
      <c r="L327" s="38">
        <f t="shared" si="83"/>
        <v>0</v>
      </c>
      <c r="M327" s="38">
        <f t="shared" si="84"/>
        <v>0</v>
      </c>
      <c r="N327">
        <f t="shared" si="73"/>
        <v>1</v>
      </c>
      <c r="O327">
        <f t="shared" si="74"/>
        <v>1</v>
      </c>
      <c r="P327">
        <f t="shared" si="78"/>
        <v>1</v>
      </c>
    </row>
    <row r="328" spans="1:16" hidden="1" outlineLevel="1">
      <c r="A328" t="s">
        <v>490</v>
      </c>
      <c r="B328" t="str">
        <f>'Change Inputs'!A292</f>
        <v>General practitioner</v>
      </c>
      <c r="C328" t="s">
        <v>414</v>
      </c>
      <c r="D328">
        <f t="shared" ref="D328:D334" si="85">_xlfn.XLOOKUP($D$287,$F$287:$F$289,$G$287:$G$289,0)*D292*12*$D$288*N328</f>
        <v>0</v>
      </c>
      <c r="E328">
        <f>IFERROR((_xlfn.XLOOKUP($D$287,$F$287:$F$289,$G$287:$G$289,0)*D292*12*$D$288)/_xlfn.XLOOKUP(B328,'Practice Inputs'!$A$54:$A$67,'Practice Inputs'!$I$54:$I$67,0),0)*O328</f>
        <v>-48</v>
      </c>
      <c r="F328" s="38">
        <f>E328*_xlfn.XLOOKUP($B328,'Practice Inputs'!$A$54:$A$67,'Practice Inputs'!$K$54:$K$67,0)</f>
        <v>-1632.4819158609907</v>
      </c>
      <c r="H328" s="38">
        <f t="shared" si="82"/>
        <v>-1632.4819158609907</v>
      </c>
      <c r="I328" s="38">
        <f>D328*_xlfn.XLOOKUP($B328,'Practice Inputs'!$A$28:$A$47,'Practice Inputs'!$J$28:$J$47,0)</f>
        <v>0</v>
      </c>
      <c r="J328" s="38">
        <f>E328*'Practice Inputs'!$E$162*_xlfn.XLOOKUP(B328,'Practice Inputs'!$A$54:$A$67,'Practice Inputs'!$I$54:$I$67,0)*P328</f>
        <v>0</v>
      </c>
      <c r="L328" s="38">
        <f t="shared" ref="L328:L334" si="86">SUM(I328:K328)</f>
        <v>0</v>
      </c>
      <c r="M328" s="38">
        <f t="shared" ref="M328:M334" si="87">H328-L328</f>
        <v>-1632.4819158609907</v>
      </c>
      <c r="N328">
        <f t="shared" si="73"/>
        <v>0</v>
      </c>
      <c r="O328">
        <f t="shared" si="74"/>
        <v>-1</v>
      </c>
      <c r="P328">
        <f t="shared" si="78"/>
        <v>0</v>
      </c>
    </row>
    <row r="329" spans="1:16" hidden="1" outlineLevel="1">
      <c r="B329" t="str">
        <f>'Change Inputs'!A293</f>
        <v>Nurse</v>
      </c>
      <c r="C329" t="s">
        <v>414</v>
      </c>
      <c r="D329">
        <f t="shared" si="85"/>
        <v>0</v>
      </c>
      <c r="E329">
        <f>IFERROR((_xlfn.XLOOKUP($D$287,$F$287:$F$289,$G$287:$G$289,0)*D293*12*$D$288)/_xlfn.XLOOKUP(B329,'Practice Inputs'!$A$54:$A$67,'Practice Inputs'!$I$54:$I$67,0),0)*O329</f>
        <v>-48</v>
      </c>
      <c r="F329" s="38">
        <f>E329*_xlfn.XLOOKUP($B329,'Practice Inputs'!$A$54:$A$67,'Practice Inputs'!$K$54:$K$67,0)</f>
        <v>-41.739130434782609</v>
      </c>
      <c r="H329" s="38">
        <f t="shared" si="82"/>
        <v>-41.739130434782609</v>
      </c>
      <c r="I329" s="38">
        <f>D329*_xlfn.XLOOKUP($B329,'Practice Inputs'!$A$28:$A$47,'Practice Inputs'!$J$28:$J$47,0)</f>
        <v>0</v>
      </c>
      <c r="J329" s="38">
        <f>E329*'Practice Inputs'!$E$162*_xlfn.XLOOKUP(B329,'Practice Inputs'!$A$54:$A$67,'Practice Inputs'!$I$54:$I$67,0)*P329</f>
        <v>0</v>
      </c>
      <c r="L329" s="38">
        <f t="shared" si="86"/>
        <v>0</v>
      </c>
      <c r="M329" s="38">
        <f t="shared" si="87"/>
        <v>-41.739130434782609</v>
      </c>
      <c r="N329">
        <f t="shared" si="73"/>
        <v>0</v>
      </c>
      <c r="O329">
        <f t="shared" si="74"/>
        <v>-1</v>
      </c>
      <c r="P329">
        <f t="shared" si="78"/>
        <v>0</v>
      </c>
    </row>
    <row r="330" spans="1:16" hidden="1" outlineLevel="1">
      <c r="B330">
        <f>'Change Inputs'!A294</f>
        <v>0</v>
      </c>
      <c r="C330" t="s">
        <v>414</v>
      </c>
      <c r="D330">
        <f t="shared" si="85"/>
        <v>0</v>
      </c>
      <c r="E330">
        <f>IFERROR((_xlfn.XLOOKUP($D$287,$F$287:$F$289,$G$287:$G$289,0)*D294*12*$D$288)/_xlfn.XLOOKUP(B330,'Practice Inputs'!$A$54:$A$67,'Practice Inputs'!$I$54:$I$67,0),0)*O330</f>
        <v>0</v>
      </c>
      <c r="F330" s="38">
        <f>E330*_xlfn.XLOOKUP($B330,'Practice Inputs'!$A$54:$A$67,'Practice Inputs'!$K$54:$K$67,0)</f>
        <v>0</v>
      </c>
      <c r="H330" s="38">
        <f t="shared" si="82"/>
        <v>0</v>
      </c>
      <c r="I330" s="38">
        <f>D330*_xlfn.XLOOKUP($B330,'Practice Inputs'!$A$28:$A$47,'Practice Inputs'!$J$28:$J$47,0)</f>
        <v>0</v>
      </c>
      <c r="J330" s="38">
        <f>E330*'Practice Inputs'!$E$162*_xlfn.XLOOKUP(B330,'Practice Inputs'!$A$54:$A$67,'Practice Inputs'!$I$54:$I$67,0)*P330</f>
        <v>0</v>
      </c>
      <c r="L330" s="38">
        <f t="shared" si="86"/>
        <v>0</v>
      </c>
      <c r="M330" s="38">
        <f t="shared" si="87"/>
        <v>0</v>
      </c>
      <c r="N330">
        <f t="shared" si="73"/>
        <v>0</v>
      </c>
      <c r="O330">
        <f t="shared" si="74"/>
        <v>-1</v>
      </c>
      <c r="P330">
        <f t="shared" si="78"/>
        <v>0</v>
      </c>
    </row>
    <row r="331" spans="1:16" hidden="1" outlineLevel="1">
      <c r="B331">
        <f>'Change Inputs'!A295</f>
        <v>0</v>
      </c>
      <c r="C331" t="s">
        <v>414</v>
      </c>
      <c r="D331">
        <f t="shared" si="85"/>
        <v>0</v>
      </c>
      <c r="E331">
        <f>IFERROR((_xlfn.XLOOKUP($D$287,$F$287:$F$289,$G$287:$G$289,0)*D295*12*$D$288)/_xlfn.XLOOKUP(B331,'Practice Inputs'!$A$54:$A$67,'Practice Inputs'!$I$54:$I$67,0),0)*O331</f>
        <v>0</v>
      </c>
      <c r="F331" s="38">
        <f>E331*_xlfn.XLOOKUP($B331,'Practice Inputs'!$A$54:$A$67,'Practice Inputs'!$K$54:$K$67,0)</f>
        <v>0</v>
      </c>
      <c r="H331" s="38">
        <f t="shared" si="82"/>
        <v>0</v>
      </c>
      <c r="I331" s="38">
        <f>D331*_xlfn.XLOOKUP($B331,'Practice Inputs'!$A$28:$A$47,'Practice Inputs'!$J$28:$J$47,0)</f>
        <v>0</v>
      </c>
      <c r="J331" s="38">
        <f>E331*'Practice Inputs'!$E$162*_xlfn.XLOOKUP(B331,'Practice Inputs'!$A$54:$A$67,'Practice Inputs'!$I$54:$I$67,0)*P331</f>
        <v>0</v>
      </c>
      <c r="L331" s="38">
        <f t="shared" si="86"/>
        <v>0</v>
      </c>
      <c r="M331" s="38">
        <f t="shared" si="87"/>
        <v>0</v>
      </c>
      <c r="N331">
        <f t="shared" si="73"/>
        <v>0</v>
      </c>
      <c r="O331">
        <f t="shared" si="74"/>
        <v>-1</v>
      </c>
      <c r="P331">
        <f t="shared" si="78"/>
        <v>0</v>
      </c>
    </row>
    <row r="332" spans="1:16" hidden="1" outlineLevel="1">
      <c r="B332">
        <f>'Change Inputs'!A296</f>
        <v>0</v>
      </c>
      <c r="C332" t="s">
        <v>414</v>
      </c>
      <c r="D332">
        <f t="shared" si="85"/>
        <v>0</v>
      </c>
      <c r="E332">
        <f>IFERROR((_xlfn.XLOOKUP($D$287,$F$287:$F$289,$G$287:$G$289,0)*D296*12*$D$288)/_xlfn.XLOOKUP(B332,'Practice Inputs'!$A$54:$A$67,'Practice Inputs'!$I$54:$I$67,0),0)*O332</f>
        <v>0</v>
      </c>
      <c r="F332" s="38">
        <f>E332*_xlfn.XLOOKUP($B332,'Practice Inputs'!$A$54:$A$67,'Practice Inputs'!$K$54:$K$67,0)</f>
        <v>0</v>
      </c>
      <c r="H332" s="38">
        <f t="shared" si="82"/>
        <v>0</v>
      </c>
      <c r="I332" s="38">
        <f>D332*_xlfn.XLOOKUP($B332,'Practice Inputs'!$A$28:$A$47,'Practice Inputs'!$J$28:$J$47,0)</f>
        <v>0</v>
      </c>
      <c r="J332" s="38">
        <f>E332*'Practice Inputs'!$E$162*_xlfn.XLOOKUP(B332,'Practice Inputs'!$A$54:$A$67,'Practice Inputs'!$I$54:$I$67,0)*P332</f>
        <v>0</v>
      </c>
      <c r="L332" s="38">
        <f t="shared" si="86"/>
        <v>0</v>
      </c>
      <c r="M332" s="38">
        <f t="shared" si="87"/>
        <v>0</v>
      </c>
      <c r="N332">
        <f t="shared" si="73"/>
        <v>0</v>
      </c>
      <c r="O332">
        <f t="shared" si="74"/>
        <v>-1</v>
      </c>
      <c r="P332">
        <f t="shared" si="78"/>
        <v>0</v>
      </c>
    </row>
    <row r="333" spans="1:16" hidden="1" outlineLevel="1">
      <c r="B333">
        <f>'Change Inputs'!A297</f>
        <v>0</v>
      </c>
      <c r="C333" t="s">
        <v>414</v>
      </c>
      <c r="D333">
        <f t="shared" si="85"/>
        <v>0</v>
      </c>
      <c r="E333">
        <f>IFERROR((_xlfn.XLOOKUP($D$287,$F$287:$F$289,$G$287:$G$289,0)*D297*12*$D$288)/_xlfn.XLOOKUP(B333,'Practice Inputs'!$A$54:$A$67,'Practice Inputs'!$I$54:$I$67,0),0)*O333</f>
        <v>0</v>
      </c>
      <c r="F333" s="38">
        <f>E333*_xlfn.XLOOKUP($B333,'Practice Inputs'!$A$54:$A$67,'Practice Inputs'!$K$54:$K$67,0)</f>
        <v>0</v>
      </c>
      <c r="G333" s="38"/>
      <c r="H333" s="38">
        <f t="shared" si="82"/>
        <v>0</v>
      </c>
      <c r="I333" s="38">
        <f>D333*_xlfn.XLOOKUP($B333,'Practice Inputs'!$A$28:$A$47,'Practice Inputs'!$J$28:$J$47,0)</f>
        <v>0</v>
      </c>
      <c r="J333" s="38">
        <f>E333*'Practice Inputs'!$E$162*_xlfn.XLOOKUP(B333,'Practice Inputs'!$A$54:$A$67,'Practice Inputs'!$I$54:$I$67,0)*P333</f>
        <v>0</v>
      </c>
      <c r="L333" s="38">
        <f t="shared" si="86"/>
        <v>0</v>
      </c>
      <c r="M333" s="38">
        <f t="shared" si="87"/>
        <v>0</v>
      </c>
      <c r="N333">
        <f t="shared" si="73"/>
        <v>0</v>
      </c>
      <c r="O333">
        <f t="shared" si="74"/>
        <v>-1</v>
      </c>
      <c r="P333">
        <f t="shared" si="78"/>
        <v>0</v>
      </c>
    </row>
    <row r="334" spans="1:16" hidden="1" outlineLevel="1">
      <c r="B334">
        <f>'Change Inputs'!A298</f>
        <v>0</v>
      </c>
      <c r="C334" t="s">
        <v>414</v>
      </c>
      <c r="D334">
        <f t="shared" si="85"/>
        <v>0</v>
      </c>
      <c r="E334">
        <f>IFERROR((_xlfn.XLOOKUP($D$287,$F$287:$F$289,$G$287:$G$289,0)*D298*12*$D$288)/_xlfn.XLOOKUP(B334,'Practice Inputs'!$A$54:$A$67,'Practice Inputs'!$I$54:$I$67,0),0)*O334</f>
        <v>0</v>
      </c>
      <c r="F334" s="38">
        <f>E334*_xlfn.XLOOKUP($B334,'Practice Inputs'!$A$54:$A$67,'Practice Inputs'!$K$54:$K$67,0)</f>
        <v>0</v>
      </c>
      <c r="H334" s="38">
        <f t="shared" si="82"/>
        <v>0</v>
      </c>
      <c r="I334" s="38">
        <f>D334*_xlfn.XLOOKUP($B334,'Practice Inputs'!$A$28:$A$47,'Practice Inputs'!$J$28:$J$47,0)</f>
        <v>0</v>
      </c>
      <c r="J334" s="38">
        <f>E334*'Practice Inputs'!$E$162*_xlfn.XLOOKUP(B334,'Practice Inputs'!$A$54:$A$67,'Practice Inputs'!$I$54:$I$67,0)*P334</f>
        <v>0</v>
      </c>
      <c r="L334" s="38">
        <f t="shared" si="86"/>
        <v>0</v>
      </c>
      <c r="M334" s="38">
        <f t="shared" si="87"/>
        <v>0</v>
      </c>
      <c r="N334">
        <f t="shared" si="73"/>
        <v>0</v>
      </c>
      <c r="O334">
        <f t="shared" si="74"/>
        <v>-1</v>
      </c>
      <c r="P334">
        <f t="shared" si="78"/>
        <v>0</v>
      </c>
    </row>
    <row r="335" spans="1:16" hidden="1" outlineLevel="1">
      <c r="A335" t="s">
        <v>491</v>
      </c>
      <c r="B335" t="s">
        <v>136</v>
      </c>
      <c r="D335">
        <f>SUMIF($B$314:$B$334,$B335,D$314:D$334)</f>
        <v>-11250</v>
      </c>
      <c r="E335" s="30">
        <f>SUMIF($B$314:$B$334,$B335,E$314:E$334)</f>
        <v>-798</v>
      </c>
      <c r="F335" s="38">
        <f>SUMIF($B$314:$B$334,$B335,F$314:F$334)</f>
        <v>-1632.4819158609907</v>
      </c>
      <c r="G335" s="38">
        <f t="shared" ref="F335:M337" si="88">SUMIF($B$314:$B$334,$B335,G$314:G$334)</f>
        <v>0</v>
      </c>
      <c r="H335" s="38">
        <f t="shared" si="88"/>
        <v>-1632.4819158609907</v>
      </c>
      <c r="I335" s="38">
        <f t="shared" si="88"/>
        <v>-28538.142447350543</v>
      </c>
      <c r="J335" s="38">
        <f>SUMIF($B$314:$B$334,$B335,J$314:J$334)</f>
        <v>-21497.019156079645</v>
      </c>
      <c r="K335">
        <f t="shared" si="88"/>
        <v>0</v>
      </c>
      <c r="L335" s="38">
        <f t="shared" si="88"/>
        <v>-50035.161603430184</v>
      </c>
      <c r="M335" s="38">
        <f t="shared" si="88"/>
        <v>48402.679687569194</v>
      </c>
    </row>
    <row r="336" spans="1:16" hidden="1" outlineLevel="1">
      <c r="B336" t="s">
        <v>284</v>
      </c>
      <c r="D336">
        <f t="shared" ref="D336:E337" si="89">SUMIF($B$314:$B$334,$B336,D$314:D$334)</f>
        <v>0</v>
      </c>
      <c r="E336" s="30">
        <f t="shared" si="89"/>
        <v>0</v>
      </c>
      <c r="F336" s="38">
        <f t="shared" si="88"/>
        <v>0</v>
      </c>
      <c r="G336" s="38">
        <f t="shared" si="88"/>
        <v>0</v>
      </c>
      <c r="H336" s="38">
        <f t="shared" si="88"/>
        <v>0</v>
      </c>
      <c r="I336" s="38">
        <f t="shared" si="88"/>
        <v>0</v>
      </c>
      <c r="J336" s="38">
        <f t="shared" si="88"/>
        <v>0</v>
      </c>
      <c r="K336">
        <f t="shared" si="88"/>
        <v>0</v>
      </c>
      <c r="L336" s="38">
        <f t="shared" si="88"/>
        <v>0</v>
      </c>
      <c r="M336" s="38">
        <f t="shared" si="88"/>
        <v>0</v>
      </c>
    </row>
    <row r="337" spans="1:19" hidden="1" outlineLevel="1">
      <c r="B337" t="s">
        <v>90</v>
      </c>
      <c r="D337">
        <f t="shared" si="89"/>
        <v>15000</v>
      </c>
      <c r="E337" s="30">
        <f t="shared" si="89"/>
        <v>952</v>
      </c>
      <c r="F337" s="38">
        <f t="shared" si="88"/>
        <v>-41.739130434782609</v>
      </c>
      <c r="G337" s="38">
        <f t="shared" si="88"/>
        <v>0</v>
      </c>
      <c r="H337" s="38">
        <f t="shared" si="88"/>
        <v>-41.739130434782609</v>
      </c>
      <c r="I337" s="38">
        <f t="shared" si="88"/>
        <v>12256.485089673914</v>
      </c>
      <c r="J337" s="38">
        <f t="shared" si="88"/>
        <v>28662.692208106193</v>
      </c>
      <c r="K337">
        <f t="shared" si="88"/>
        <v>0</v>
      </c>
      <c r="L337" s="38">
        <f t="shared" si="88"/>
        <v>40919.177297780108</v>
      </c>
      <c r="M337" s="38">
        <f t="shared" si="88"/>
        <v>-40960.916428214892</v>
      </c>
    </row>
    <row r="338" spans="1:19" hidden="1" outlineLevel="1">
      <c r="B338" t="s">
        <v>166</v>
      </c>
      <c r="D338">
        <f>(SUM(D314:D334)-SUM(D335:D337))</f>
        <v>0</v>
      </c>
      <c r="E338" s="30">
        <f>(SUM(E314:E334)-SUM(E335:E337))</f>
        <v>0</v>
      </c>
      <c r="F338" s="38">
        <f t="shared" ref="F338:M338" si="90">SUM(F314:F334)-SUM(F335:F337)</f>
        <v>0</v>
      </c>
      <c r="G338" s="38">
        <f t="shared" si="90"/>
        <v>0</v>
      </c>
      <c r="H338" s="38">
        <f t="shared" si="90"/>
        <v>0</v>
      </c>
      <c r="I338" s="38">
        <f t="shared" si="90"/>
        <v>0</v>
      </c>
      <c r="J338" s="38">
        <f t="shared" si="90"/>
        <v>0</v>
      </c>
      <c r="K338">
        <f t="shared" si="90"/>
        <v>0</v>
      </c>
      <c r="L338" s="38">
        <f t="shared" si="90"/>
        <v>0</v>
      </c>
      <c r="M338" s="38">
        <f t="shared" si="90"/>
        <v>0</v>
      </c>
    </row>
    <row r="339" spans="1:19" hidden="1" outlineLevel="1">
      <c r="A339" t="s">
        <v>386</v>
      </c>
      <c r="E339" s="30"/>
      <c r="F339" s="38"/>
      <c r="G339" s="38"/>
      <c r="H339" s="38"/>
      <c r="I339" s="38"/>
      <c r="J339" s="38">
        <f>SUM(D306:D308)</f>
        <v>0</v>
      </c>
      <c r="L339" s="38"/>
      <c r="M339" s="38"/>
    </row>
    <row r="340" spans="1:19" hidden="1" outlineLevel="1">
      <c r="A340" s="57" t="s">
        <v>92</v>
      </c>
      <c r="B340" s="57" t="s">
        <v>92</v>
      </c>
      <c r="C340" s="57"/>
      <c r="D340" s="57">
        <f>SUM(D335:D339)</f>
        <v>3750</v>
      </c>
      <c r="E340" s="170">
        <f>SUM(E335:E339)</f>
        <v>154</v>
      </c>
      <c r="F340" s="59">
        <f t="shared" ref="F340:I340" si="91">SUM(F335:F339)</f>
        <v>-1674.2210462957732</v>
      </c>
      <c r="G340" s="59">
        <f t="shared" si="91"/>
        <v>0</v>
      </c>
      <c r="H340" s="59">
        <f t="shared" si="91"/>
        <v>-1674.2210462957732</v>
      </c>
      <c r="I340" s="59">
        <f t="shared" si="91"/>
        <v>-16281.65735767663</v>
      </c>
      <c r="J340" s="59">
        <f>SUM(J335:J339)</f>
        <v>7165.6730520265482</v>
      </c>
      <c r="K340" s="59">
        <f t="shared" ref="K340:M340" si="92">SUM(K335:K339)</f>
        <v>0</v>
      </c>
      <c r="L340" s="59">
        <f t="shared" si="92"/>
        <v>-9115.9843056500758</v>
      </c>
      <c r="M340" s="59">
        <f t="shared" si="92"/>
        <v>7441.7632593543021</v>
      </c>
    </row>
    <row r="341" spans="1:19" hidden="1" outlineLevel="1"/>
    <row r="342" spans="1:19" collapsed="1">
      <c r="B342" s="2"/>
      <c r="C342" s="50"/>
    </row>
    <row r="343" spans="1:19" ht="18.899999999999999" thickBot="1">
      <c r="A343" s="128" t="s">
        <v>124</v>
      </c>
      <c r="B343" s="119"/>
      <c r="C343" s="119"/>
      <c r="D343" s="119"/>
      <c r="E343" s="119"/>
      <c r="F343" s="119"/>
      <c r="G343" s="119"/>
      <c r="H343" s="119"/>
      <c r="I343" s="119"/>
      <c r="J343" s="119"/>
      <c r="K343" s="119"/>
      <c r="L343" s="119"/>
      <c r="M343" s="119"/>
      <c r="N343" s="119"/>
      <c r="O343" s="119"/>
      <c r="P343" s="119"/>
      <c r="Q343" s="119"/>
      <c r="R343" s="119"/>
      <c r="S343" s="119"/>
    </row>
    <row r="344" spans="1:19">
      <c r="B344" s="2"/>
      <c r="C344" s="50"/>
    </row>
    <row r="345" spans="1:19" ht="18.45">
      <c r="A345" s="181" t="s">
        <v>28</v>
      </c>
      <c r="B345" s="2"/>
      <c r="C345" s="50"/>
    </row>
    <row r="346" spans="1:19">
      <c r="B346" s="2"/>
      <c r="C346" s="50"/>
    </row>
    <row r="347" spans="1:19">
      <c r="A347" s="39" t="s">
        <v>492</v>
      </c>
      <c r="B347" s="180" t="s">
        <v>264</v>
      </c>
      <c r="C347" s="115" t="s">
        <v>73</v>
      </c>
      <c r="D347" s="180" t="s">
        <v>266</v>
      </c>
    </row>
    <row r="348" spans="1:19">
      <c r="A348" t="s">
        <v>493</v>
      </c>
      <c r="B348" s="34"/>
      <c r="C348" s="223">
        <f>Defaults!$B$39*used_esu</f>
        <v>3994.5497322936758</v>
      </c>
      <c r="D348" s="224">
        <f>IF(B348="",C348,B348)</f>
        <v>3994.5497322936758</v>
      </c>
    </row>
    <row r="349" spans="1:19">
      <c r="A349" t="s">
        <v>494</v>
      </c>
      <c r="B349" s="34"/>
      <c r="C349" s="223">
        <f>_xlfn.XLOOKUP(input_complexity,Defaults!$B$64:$D$64,Defaults!$B$65:$D$65)*$D$348</f>
        <v>1957.3293688239012</v>
      </c>
      <c r="D349" s="224">
        <f>IF(B349="",C349,B349)</f>
        <v>1957.3293688239012</v>
      </c>
      <c r="E349" s="32">
        <f>D349/D348</f>
        <v>0.49</v>
      </c>
    </row>
    <row r="350" spans="1:19">
      <c r="A350" t="s">
        <v>128</v>
      </c>
      <c r="B350" s="145"/>
      <c r="C350" s="146">
        <f>MAX(E349,_xlfn.XLOOKUP(input_complexity,Defaults!$B$64:$D$64,Defaults!$B$66:$D$66))</f>
        <v>0.6</v>
      </c>
      <c r="D350" s="32">
        <f>IF(B350="",C350,B350)</f>
        <v>0.6</v>
      </c>
    </row>
    <row r="351" spans="1:19">
      <c r="A351" t="s">
        <v>495</v>
      </c>
    </row>
    <row r="353" spans="1:25">
      <c r="A353" s="39" t="s">
        <v>385</v>
      </c>
      <c r="B353" s="180"/>
      <c r="C353" s="115"/>
      <c r="D353" s="180"/>
      <c r="E353" s="180"/>
    </row>
    <row r="354" spans="1:25">
      <c r="A354" s="103"/>
      <c r="B354" s="41"/>
      <c r="C354" s="149">
        <v>0</v>
      </c>
      <c r="D354" s="70">
        <f>IF(B354="",C354,B354)</f>
        <v>0</v>
      </c>
    </row>
    <row r="355" spans="1:25">
      <c r="A355" s="103"/>
      <c r="B355" s="41"/>
      <c r="C355" s="149">
        <v>0</v>
      </c>
      <c r="D355" s="70">
        <f>IF(B355="",C355,B355)</f>
        <v>0</v>
      </c>
    </row>
    <row r="356" spans="1:25">
      <c r="A356" s="103"/>
      <c r="B356" s="41"/>
      <c r="C356" s="149">
        <v>0</v>
      </c>
      <c r="D356" s="70">
        <f>IF(B356="",C356,B356)</f>
        <v>0</v>
      </c>
    </row>
    <row r="358" spans="1:25">
      <c r="A358" s="39" t="s">
        <v>386</v>
      </c>
      <c r="B358" s="180"/>
      <c r="C358" s="115"/>
      <c r="D358" s="180"/>
      <c r="E358" s="180"/>
    </row>
    <row r="359" spans="1:25">
      <c r="A359" s="186"/>
      <c r="B359" s="185"/>
      <c r="C359" s="149">
        <v>0</v>
      </c>
      <c r="D359" s="70">
        <f>IF(B359="",C359,B359)</f>
        <v>0</v>
      </c>
    </row>
    <row r="360" spans="1:25">
      <c r="A360" s="187"/>
      <c r="B360" s="185"/>
      <c r="C360" s="149">
        <v>0</v>
      </c>
      <c r="D360" s="70">
        <f>IF(B360="",C360,B360)</f>
        <v>0</v>
      </c>
    </row>
    <row r="361" spans="1:25">
      <c r="A361" s="187"/>
      <c r="B361" s="185"/>
      <c r="C361" s="149">
        <v>0</v>
      </c>
      <c r="D361" s="70">
        <f>IF(B361="",C361,B361)</f>
        <v>0</v>
      </c>
    </row>
    <row r="362" spans="1:25">
      <c r="X362" s="16"/>
      <c r="Y362" s="16"/>
    </row>
    <row r="363" spans="1:25" hidden="1" outlineLevel="1"/>
    <row r="364" spans="1:25" ht="18.45" hidden="1" outlineLevel="1">
      <c r="A364" s="181" t="s">
        <v>387</v>
      </c>
    </row>
    <row r="365" spans="1:25" hidden="1" outlineLevel="1"/>
    <row r="366" spans="1:25" hidden="1" outlineLevel="1">
      <c r="A366" t="s">
        <v>134</v>
      </c>
      <c r="B366" s="2" t="s">
        <v>496</v>
      </c>
      <c r="C366" s="2" t="s">
        <v>497</v>
      </c>
    </row>
    <row r="367" spans="1:25" hidden="1" outlineLevel="1">
      <c r="A367" s="174" t="s">
        <v>136</v>
      </c>
      <c r="B367" s="175">
        <v>6.8750000000000004E-5</v>
      </c>
      <c r="C367" s="176">
        <f>B$367*$D$348*($D$350-$E$349)</f>
        <v>3.020878235047092E-2</v>
      </c>
    </row>
    <row r="368" spans="1:25" hidden="1" outlineLevel="1">
      <c r="A368" s="174" t="s">
        <v>90</v>
      </c>
      <c r="B368" s="175">
        <v>-4.0250000000000003E-5</v>
      </c>
      <c r="C368" s="176">
        <f>B$368*$D$348*($D$350-$E$349)</f>
        <v>-1.7685868939730249E-2</v>
      </c>
    </row>
    <row r="369" spans="1:19" hidden="1" outlineLevel="1">
      <c r="A369" s="174" t="s">
        <v>137</v>
      </c>
      <c r="B369" s="175">
        <v>-4.1649999999999993E-4</v>
      </c>
      <c r="C369" s="176">
        <f>B$369*$D$348*($D$350-$E$349)</f>
        <v>-0.18301029598503471</v>
      </c>
    </row>
    <row r="370" spans="1:19" hidden="1" outlineLevel="1">
      <c r="A370" s="173" t="s">
        <v>498</v>
      </c>
    </row>
    <row r="371" spans="1:19" hidden="1" outlineLevel="1">
      <c r="A371" s="174" t="s">
        <v>499</v>
      </c>
      <c r="N371" t="s">
        <v>396</v>
      </c>
    </row>
    <row r="372" spans="1:19" hidden="1" outlineLevel="1">
      <c r="A372" s="174"/>
      <c r="N372" t="s">
        <v>397</v>
      </c>
    </row>
    <row r="373" spans="1:19" ht="18.45" hidden="1" outlineLevel="1">
      <c r="A373" s="181" t="s">
        <v>398</v>
      </c>
      <c r="N373" t="s">
        <v>399</v>
      </c>
    </row>
    <row r="374" spans="1:19" hidden="1" outlineLevel="1">
      <c r="A374" s="57"/>
      <c r="D374" s="57" t="s">
        <v>392</v>
      </c>
      <c r="E374" s="57"/>
      <c r="F374" s="57" t="s">
        <v>56</v>
      </c>
      <c r="G374" s="57"/>
      <c r="I374" s="57" t="s">
        <v>88</v>
      </c>
      <c r="N374" s="57" t="s">
        <v>400</v>
      </c>
      <c r="P374" s="38"/>
      <c r="Q374" s="38"/>
      <c r="R374" s="38"/>
    </row>
    <row r="375" spans="1:19" hidden="1" outlineLevel="1">
      <c r="A375" s="57" t="s">
        <v>401</v>
      </c>
      <c r="B375" s="57" t="s">
        <v>134</v>
      </c>
      <c r="C375" s="57" t="s">
        <v>402</v>
      </c>
      <c r="D375" s="57" t="s">
        <v>403</v>
      </c>
      <c r="E375" s="57" t="s">
        <v>51</v>
      </c>
      <c r="F375" s="57" t="s">
        <v>405</v>
      </c>
      <c r="G375" s="57" t="s">
        <v>205</v>
      </c>
      <c r="H375" s="57" t="s">
        <v>406</v>
      </c>
      <c r="I375" s="57" t="s">
        <v>407</v>
      </c>
      <c r="J375" s="57" t="s">
        <v>408</v>
      </c>
      <c r="K375" s="57" t="s">
        <v>409</v>
      </c>
      <c r="L375" s="57" t="s">
        <v>206</v>
      </c>
      <c r="M375" s="57" t="s">
        <v>410</v>
      </c>
      <c r="N375" s="57" t="s">
        <v>411</v>
      </c>
      <c r="O375" s="57" t="s">
        <v>51</v>
      </c>
      <c r="P375" s="57" t="s">
        <v>412</v>
      </c>
      <c r="Q375" s="38"/>
      <c r="R375" s="38"/>
    </row>
    <row r="376" spans="1:19" hidden="1" outlineLevel="1">
      <c r="A376" t="s">
        <v>500</v>
      </c>
      <c r="B376" t="s">
        <v>136</v>
      </c>
      <c r="C376" t="s">
        <v>416</v>
      </c>
      <c r="D376" s="177">
        <f>C367*_xlfn.XLOOKUP(B376,'Practice Inputs'!$A$28:$A$47,'Practice Inputs'!$L$28:$L$47,1920)*60*N376</f>
        <v>3335.0495714919898</v>
      </c>
      <c r="E376" s="30">
        <f>(C367*_xlfn.XLOOKUP(B376,'Practice Inputs'!$A$28:$A$47,'Practice Inputs'!$L$28:$L$47,1920)*60)/_xlfn.XLOOKUP(B376,'Practice Inputs'!$A$54:$A$67,'Practice Inputs'!$I$54:$I$67,0)*O376</f>
        <v>0</v>
      </c>
      <c r="F376" s="38">
        <f>E376*_xlfn.XLOOKUP($B376,'Practice Inputs'!$A$54:$A$67,'Practice Inputs'!$K$54:$K$67,0)</f>
        <v>0</v>
      </c>
      <c r="G376" s="38"/>
      <c r="H376" s="38">
        <f>SUM(F376:G376)</f>
        <v>0</v>
      </c>
      <c r="I376" s="38">
        <f>D376*_xlfn.XLOOKUP(B376,'Practice Inputs'!$A$28:$A$47,'Practice Inputs'!$J$28:$J$47,0)</f>
        <v>8460.0995324634478</v>
      </c>
      <c r="J376" s="38">
        <f>E376*'Practice Inputs'!$E$162*_xlfn.XLOOKUP(B376,'Practice Inputs'!$A$54:$A$67,'Practice Inputs'!$I$54:$I$67,0)*P376</f>
        <v>0</v>
      </c>
      <c r="K376" s="38">
        <v>0</v>
      </c>
      <c r="L376" s="38">
        <f>SUM(I376:K376)</f>
        <v>8460.0995324634478</v>
      </c>
      <c r="M376" s="38">
        <f>H376-L376</f>
        <v>-8460.0995324634478</v>
      </c>
      <c r="N376">
        <f>IF(C376="Repurpose",0,1)</f>
        <v>1</v>
      </c>
      <c r="O376">
        <f>IF(C376="Repurpose",-1,IF(C376="Add",1,0))</f>
        <v>0</v>
      </c>
      <c r="P376">
        <f>IF(C376="Add",1,0)</f>
        <v>0</v>
      </c>
      <c r="Q376" s="38"/>
      <c r="R376" s="38"/>
    </row>
    <row r="377" spans="1:19" hidden="1" outlineLevel="1">
      <c r="B377" t="s">
        <v>284</v>
      </c>
      <c r="C377" t="s">
        <v>414</v>
      </c>
      <c r="D377" s="177"/>
      <c r="E377" s="30"/>
      <c r="F377" s="38">
        <f>E377*_xlfn.XLOOKUP($B377,'Practice Inputs'!$A$54:$A$67,'Practice Inputs'!$K$54:$K$67,0)</f>
        <v>0</v>
      </c>
      <c r="G377" s="38"/>
      <c r="H377" s="38">
        <f>SUM(F377:G377)</f>
        <v>0</v>
      </c>
      <c r="I377" s="38">
        <f>D377*_xlfn.XLOOKUP(B377,'Practice Inputs'!$A$28:$A$47,'Practice Inputs'!$J$28:$J$47,0)</f>
        <v>0</v>
      </c>
      <c r="J377" s="38">
        <f>E377*'Practice Inputs'!$E$162*_xlfn.XLOOKUP(B377,'Practice Inputs'!$A$54:$A$67,'Practice Inputs'!$I$54:$I$67,0)*P377</f>
        <v>0</v>
      </c>
      <c r="K377" s="38">
        <v>0</v>
      </c>
      <c r="L377" s="38">
        <f>SUM(I377:K377)</f>
        <v>0</v>
      </c>
      <c r="M377" s="38">
        <f t="shared" ref="M377" si="93">H377-L377</f>
        <v>0</v>
      </c>
      <c r="N377">
        <f t="shared" ref="N377:N379" si="94">IF(C377="Repurpose",0,1)</f>
        <v>0</v>
      </c>
      <c r="O377">
        <f t="shared" ref="O377:O379" si="95">IF(C377="Repurpose",-1,IF(C377="Add",1,0))</f>
        <v>-1</v>
      </c>
      <c r="P377">
        <f t="shared" ref="P377:P379" si="96">IF(C377="Add",1,0)</f>
        <v>0</v>
      </c>
      <c r="Q377" s="38"/>
      <c r="R377" s="38"/>
    </row>
    <row r="378" spans="1:19" hidden="1" outlineLevel="1">
      <c r="B378" t="s">
        <v>90</v>
      </c>
      <c r="C378" t="s">
        <v>416</v>
      </c>
      <c r="D378" s="177">
        <f>C368*_xlfn.XLOOKUP(B378,'Practice Inputs'!$A$28:$A$47,'Practice Inputs'!$L$28:$L$47,1920)*60*N378</f>
        <v>-1952.5199309462193</v>
      </c>
      <c r="E378" s="30">
        <f>(C368*_xlfn.XLOOKUP(B378,'Practice Inputs'!$A$28:$A$47,'Practice Inputs'!$L$28:$L$47,1920)*60)/_xlfn.XLOOKUP(B378,'Practice Inputs'!$A$54:$A$67,'Practice Inputs'!$I$54:$I$67,0)*O378</f>
        <v>0</v>
      </c>
      <c r="F378" s="38">
        <f>E378*_xlfn.XLOOKUP($B378,'Practice Inputs'!$A$54:$A$67,'Practice Inputs'!$K$54:$K$67,0)</f>
        <v>0</v>
      </c>
      <c r="G378" s="38"/>
      <c r="H378" s="38">
        <f>SUM(F378:G378)</f>
        <v>0</v>
      </c>
      <c r="I378" s="38">
        <f>D378*_xlfn.XLOOKUP(B378,'Practice Inputs'!$A$28:$A$47,'Practice Inputs'!$J$28:$J$47,0)</f>
        <v>-1595.4020947288984</v>
      </c>
      <c r="J378" s="38">
        <f>E378*'Practice Inputs'!$E$162*_xlfn.XLOOKUP(B378,'Practice Inputs'!$A$54:$A$67,'Practice Inputs'!$I$54:$I$67,0)*P378</f>
        <v>0</v>
      </c>
      <c r="K378" s="38">
        <v>0</v>
      </c>
      <c r="L378" s="38">
        <f>SUM(I378:K378)</f>
        <v>-1595.4020947288984</v>
      </c>
      <c r="M378" s="38">
        <f>H378-L378</f>
        <v>1595.4020947288984</v>
      </c>
      <c r="N378">
        <f t="shared" si="94"/>
        <v>1</v>
      </c>
      <c r="O378">
        <f t="shared" si="95"/>
        <v>0</v>
      </c>
      <c r="P378">
        <f t="shared" si="96"/>
        <v>0</v>
      </c>
      <c r="Q378" s="38"/>
      <c r="R378" s="38"/>
    </row>
    <row r="379" spans="1:19" hidden="1" outlineLevel="1">
      <c r="B379" t="s">
        <v>137</v>
      </c>
      <c r="C379" t="s">
        <v>416</v>
      </c>
      <c r="D379" s="177">
        <f>C369*_xlfn.XLOOKUP(B379,'Practice Inputs'!$A$28:$A$47,'Practice Inputs'!$L$28:$L$47,1920)*60*N379</f>
        <v>-21082.786097476001</v>
      </c>
      <c r="E379" s="30">
        <f>IFERROR((C369*_xlfn.XLOOKUP(B379,'Practice Inputs'!$A$28:$A$47,'Practice Inputs'!$L$28:$L$47,1920)*60)/_xlfn.XLOOKUP(B379,'Practice Inputs'!$A$54:$A$67,'Practice Inputs'!$I$54:$I$67,0),0)*O379</f>
        <v>0</v>
      </c>
      <c r="F379" s="38">
        <f>E379*_xlfn.XLOOKUP($B379,'Practice Inputs'!$A$54:$A$67,'Practice Inputs'!$K$54:$K$67,0)</f>
        <v>0</v>
      </c>
      <c r="G379" s="38"/>
      <c r="H379" s="38">
        <f t="shared" ref="H379:H380" si="97">SUM(F379:G379)</f>
        <v>0</v>
      </c>
      <c r="I379" s="38">
        <f>D379*_xlfn.XLOOKUP(B379,'Practice Inputs'!$A$28:$A$47,'Practice Inputs'!$J$28:$J$47,0)</f>
        <v>-9915.9637166291577</v>
      </c>
      <c r="J379" s="38">
        <f>E379*'Practice Inputs'!$E$162*_xlfn.XLOOKUP(B379,'Practice Inputs'!$A$54:$A$67,'Practice Inputs'!$I$54:$I$67,0)*P379</f>
        <v>0</v>
      </c>
      <c r="K379" s="38">
        <v>0</v>
      </c>
      <c r="L379" s="38">
        <f t="shared" ref="L379" si="98">SUM(I379:K379)</f>
        <v>-9915.9637166291577</v>
      </c>
      <c r="M379" s="38">
        <f t="shared" ref="M379" si="99">H379-L379</f>
        <v>9915.9637166291577</v>
      </c>
      <c r="N379">
        <f t="shared" si="94"/>
        <v>1</v>
      </c>
      <c r="O379">
        <f t="shared" si="95"/>
        <v>0</v>
      </c>
      <c r="P379">
        <f t="shared" si="96"/>
        <v>0</v>
      </c>
      <c r="Q379" s="38"/>
      <c r="R379" s="38"/>
    </row>
    <row r="380" spans="1:19" hidden="1" outlineLevel="1">
      <c r="A380" s="16" t="s">
        <v>501</v>
      </c>
      <c r="F380" s="38"/>
      <c r="G380" s="38"/>
      <c r="H380" s="38">
        <f t="shared" si="97"/>
        <v>0</v>
      </c>
      <c r="I380" s="38"/>
      <c r="J380" s="38">
        <f>SUM(D359:D361)</f>
        <v>0</v>
      </c>
      <c r="K380" s="44"/>
      <c r="L380" s="38">
        <f t="shared" ref="L380" si="100">SUM(I380:K380)</f>
        <v>0</v>
      </c>
      <c r="M380" s="38">
        <f t="shared" ref="M380" si="101">H380-L380</f>
        <v>0</v>
      </c>
      <c r="Q380" s="38"/>
      <c r="R380" s="38"/>
    </row>
    <row r="381" spans="1:19" hidden="1" outlineLevel="1">
      <c r="B381" s="57" t="s">
        <v>92</v>
      </c>
      <c r="D381" s="58">
        <f t="shared" ref="D381:M381" si="102">SUM(D376:D380)</f>
        <v>-19700.25645693023</v>
      </c>
      <c r="E381" s="58">
        <f t="shared" si="102"/>
        <v>0</v>
      </c>
      <c r="F381" s="59">
        <f t="shared" si="102"/>
        <v>0</v>
      </c>
      <c r="G381" s="59">
        <f t="shared" si="102"/>
        <v>0</v>
      </c>
      <c r="H381" s="59">
        <f t="shared" si="102"/>
        <v>0</v>
      </c>
      <c r="I381" s="59">
        <f t="shared" si="102"/>
        <v>-3051.2662788946081</v>
      </c>
      <c r="J381" s="59">
        <f>SUM(J376:J380)</f>
        <v>0</v>
      </c>
      <c r="K381" s="59">
        <f t="shared" si="102"/>
        <v>0</v>
      </c>
      <c r="L381" s="59">
        <f t="shared" si="102"/>
        <v>-3051.2662788946081</v>
      </c>
      <c r="M381" s="59">
        <f t="shared" si="102"/>
        <v>3051.2662788946081</v>
      </c>
      <c r="P381" s="38"/>
      <c r="Q381" s="38"/>
      <c r="R381" s="38"/>
    </row>
    <row r="382" spans="1:19" collapsed="1">
      <c r="A382" s="174"/>
      <c r="B382" s="172"/>
      <c r="D382" s="172"/>
      <c r="N382" s="38"/>
      <c r="O382" s="38"/>
      <c r="P382" s="38"/>
      <c r="Q382" s="38"/>
      <c r="R382" s="38"/>
    </row>
    <row r="384" spans="1:19" ht="18.899999999999999" thickBot="1">
      <c r="A384" s="128" t="s">
        <v>129</v>
      </c>
      <c r="B384" s="119"/>
      <c r="C384" s="119"/>
      <c r="D384" s="119"/>
      <c r="E384" s="119"/>
      <c r="F384" s="119"/>
      <c r="G384" s="128"/>
      <c r="H384" s="119"/>
      <c r="I384" s="119"/>
      <c r="J384" s="119"/>
      <c r="K384" s="119"/>
      <c r="L384" s="119"/>
      <c r="M384" s="119"/>
      <c r="N384" s="119"/>
      <c r="O384" s="119"/>
      <c r="P384" s="119"/>
      <c r="Q384" s="119"/>
      <c r="R384" s="119"/>
      <c r="S384" s="119"/>
    </row>
    <row r="386" spans="1:7" ht="18.45">
      <c r="A386" s="181" t="s">
        <v>28</v>
      </c>
      <c r="B386" s="2"/>
      <c r="C386" s="50"/>
    </row>
    <row r="387" spans="1:7" ht="18.45">
      <c r="A387" s="181"/>
      <c r="B387" s="180" t="s">
        <v>264</v>
      </c>
      <c r="C387" s="115" t="s">
        <v>73</v>
      </c>
      <c r="D387" s="180" t="s">
        <v>266</v>
      </c>
    </row>
    <row r="388" spans="1:7">
      <c r="A388" t="s">
        <v>139</v>
      </c>
      <c r="B388" t="str">
        <f>'Proactive preventative'!F64</f>
        <v>Additional</v>
      </c>
      <c r="C388" s="64" t="s">
        <v>502</v>
      </c>
      <c r="D388" t="str">
        <f>IF(B388="",C388,B388)</f>
        <v>Additional</v>
      </c>
    </row>
    <row r="389" spans="1:7">
      <c r="A389" s="16" t="s">
        <v>132</v>
      </c>
      <c r="B389" s="158">
        <f>'Proactive preventative'!F52</f>
        <v>0</v>
      </c>
      <c r="C389" s="171">
        <v>0</v>
      </c>
      <c r="D389" s="102">
        <f>IF(B389="",C389,B389)</f>
        <v>0</v>
      </c>
    </row>
    <row r="390" spans="1:7">
      <c r="A390" s="16"/>
      <c r="B390" s="158"/>
      <c r="C390" s="171"/>
      <c r="D390" s="102"/>
    </row>
    <row r="391" spans="1:7">
      <c r="A391" s="78" t="s">
        <v>503</v>
      </c>
      <c r="C391" s="171"/>
      <c r="D391" s="102"/>
      <c r="E391" t="s">
        <v>504</v>
      </c>
      <c r="G391" s="64"/>
    </row>
    <row r="392" spans="1:7">
      <c r="A392" s="16" t="s">
        <v>134</v>
      </c>
      <c r="C392" s="171"/>
      <c r="D392" s="102"/>
      <c r="E392" t="s">
        <v>505</v>
      </c>
      <c r="F392" t="s">
        <v>506</v>
      </c>
    </row>
    <row r="393" spans="1:7">
      <c r="A393" t="str">
        <f>'Proactive preventative'!B56</f>
        <v>General practitioner</v>
      </c>
      <c r="B393">
        <f>'Proactive preventative'!F56</f>
        <v>1</v>
      </c>
      <c r="C393" s="171">
        <v>0</v>
      </c>
      <c r="D393" s="102">
        <f t="shared" ref="D393:D398" si="103">IF(B393="",C393,B393)</f>
        <v>1</v>
      </c>
      <c r="E393" s="38">
        <f>$D$389*$D393*_xlfn.XLOOKUP($A393,'Practice Inputs'!$A$28:$A$47,'Practice Inputs'!$J$28:$J$47,0)*60*IF($D$388="Additional",(1+$D$400),$D$400)</f>
        <v>0</v>
      </c>
      <c r="F393" cm="1">
        <f t="array" ref="F393">IF($D$388="Flexed",0,1)*IFERROR($D$389*$D393*60/_xlfn.XLOOKUP($A393,'Practice Inputs'!$A$54:$A$67,'Practice Inputs'!$I$54:$I$67/'Practice Inputs'!$J$54:$J$67),0)</f>
        <v>0</v>
      </c>
    </row>
    <row r="394" spans="1:7">
      <c r="A394" t="str">
        <f>'Proactive preventative'!B57</f>
        <v>Nurse practitioner</v>
      </c>
      <c r="B394">
        <f>'Proactive preventative'!F57</f>
        <v>1</v>
      </c>
      <c r="C394" s="171">
        <v>0</v>
      </c>
      <c r="D394" s="102">
        <f t="shared" si="103"/>
        <v>1</v>
      </c>
      <c r="E394" s="38">
        <f>$D$389*$D394*_xlfn.XLOOKUP($A394,'Practice Inputs'!$A$28:$A$47,'Practice Inputs'!$J$28:$J$47,0)*60*IF($D$388="Additional",(1+$D$400),$D$400)</f>
        <v>0</v>
      </c>
      <c r="F394" cm="1">
        <f t="array" ref="F394">IF($D$388="Flexed",0,1)*IFERROR($D$389*$D394*60/_xlfn.XLOOKUP($A394,'Practice Inputs'!$A$54:$A$67,'Practice Inputs'!$I$54:$I$67/'Practice Inputs'!$J$54:$J$67),0)</f>
        <v>0</v>
      </c>
    </row>
    <row r="395" spans="1:7">
      <c r="A395" t="str">
        <f>'Proactive preventative'!B58</f>
        <v>Nurse</v>
      </c>
      <c r="B395">
        <f>'Proactive preventative'!F58</f>
        <v>1</v>
      </c>
      <c r="C395" s="171">
        <v>0</v>
      </c>
      <c r="D395" s="102">
        <f t="shared" si="103"/>
        <v>1</v>
      </c>
      <c r="E395" s="38">
        <f>$D$389*$D395*_xlfn.XLOOKUP($A395,'Practice Inputs'!$A$28:$A$47,'Practice Inputs'!$J$28:$J$47,0)*60*IF($D$388="Additional",(1+$D$400),$D$400)</f>
        <v>0</v>
      </c>
      <c r="F395" cm="1">
        <f t="array" ref="F395">IF($D$388="Flexed",0,1)*IFERROR($D$389*$D395*60/_xlfn.XLOOKUP($A395,'Practice Inputs'!$A$54:$A$67,'Practice Inputs'!$I$54:$I$67/'Practice Inputs'!$J$54:$J$67),0)</f>
        <v>0</v>
      </c>
    </row>
    <row r="396" spans="1:7">
      <c r="A396">
        <f>'Proactive preventative'!B59</f>
        <v>0</v>
      </c>
      <c r="B396">
        <f>'Proactive preventative'!F59</f>
        <v>0</v>
      </c>
      <c r="C396" s="171">
        <v>0</v>
      </c>
      <c r="D396" s="102">
        <f t="shared" si="103"/>
        <v>0</v>
      </c>
      <c r="E396" s="38">
        <f>$D$389*$D396*_xlfn.XLOOKUP($A396,'Practice Inputs'!$A$28:$A$47,'Practice Inputs'!$J$28:$J$47,0)*60*IF($D$388="Additional",(1+$D$400),$D$400)</f>
        <v>0</v>
      </c>
      <c r="F396" cm="1">
        <f t="array" ref="F396">IF($D$388="Flexed",0,1)*IFERROR($D$389*$D396*60/_xlfn.XLOOKUP($A396,'Practice Inputs'!$A$54:$A$67,'Practice Inputs'!$I$54:$I$67/'Practice Inputs'!$J$54:$J$67),0)</f>
        <v>0</v>
      </c>
    </row>
    <row r="397" spans="1:7">
      <c r="A397">
        <f>'Proactive preventative'!B60</f>
        <v>0</v>
      </c>
      <c r="B397">
        <f>'Proactive preventative'!F60</f>
        <v>0</v>
      </c>
      <c r="C397" s="171">
        <v>0</v>
      </c>
      <c r="D397" s="102">
        <f t="shared" si="103"/>
        <v>0</v>
      </c>
      <c r="E397" s="38">
        <f>$D$389*$D397*_xlfn.XLOOKUP($A397,'Practice Inputs'!$A$28:$A$47,'Practice Inputs'!$J$28:$J$47,0)*60*IF($D$388="Additional",(1+$D$400),$D$400)</f>
        <v>0</v>
      </c>
      <c r="F397" cm="1">
        <f t="array" ref="F397">IF($D$388="Flexed",0,1)*IFERROR($D$389*$D397*60/_xlfn.XLOOKUP($A397,'Practice Inputs'!$A$54:$A$67,'Practice Inputs'!$I$54:$I$67/'Practice Inputs'!$J$54:$J$67),0)</f>
        <v>0</v>
      </c>
    </row>
    <row r="398" spans="1:7">
      <c r="A398">
        <f>'Proactive preventative'!B61</f>
        <v>0</v>
      </c>
      <c r="B398">
        <f>'Proactive preventative'!F61</f>
        <v>0</v>
      </c>
      <c r="C398" s="171">
        <v>0</v>
      </c>
      <c r="D398" s="102">
        <f t="shared" si="103"/>
        <v>0</v>
      </c>
      <c r="E398" s="38">
        <f>$D$389*$D398*_xlfn.XLOOKUP($A398,'Practice Inputs'!$A$28:$A$47,'Practice Inputs'!$J$28:$J$47,0)*60*IF($D$388="Additional",(1+$D$400),$D$400)</f>
        <v>0</v>
      </c>
      <c r="F398" cm="1">
        <f t="array" ref="F398">IF($D$388="Flexed",0,1)*IFERROR($D$389*$D398*60/_xlfn.XLOOKUP($A398,'Practice Inputs'!$A$54:$A$67,'Practice Inputs'!$I$54:$I$67/'Practice Inputs'!$J$54:$J$67),0)</f>
        <v>0</v>
      </c>
    </row>
    <row r="399" spans="1:7">
      <c r="C399" s="171"/>
      <c r="D399" s="102"/>
      <c r="E399" s="38"/>
      <c r="G399" s="64"/>
    </row>
    <row r="400" spans="1:7">
      <c r="A400" t="s">
        <v>507</v>
      </c>
      <c r="B400" s="145"/>
      <c r="C400" s="151">
        <v>0.5</v>
      </c>
      <c r="D400" s="32">
        <f>IF(B400="",C400,B400)</f>
        <v>0.5</v>
      </c>
      <c r="G400" s="64"/>
    </row>
    <row r="401" spans="1:25">
      <c r="A401" t="s">
        <v>508</v>
      </c>
      <c r="B401" s="41"/>
      <c r="C401" s="178">
        <f>'Practice Inputs'!D141/SUM('Practice Inputs'!H54:H67)</f>
        <v>14.234172214285717</v>
      </c>
      <c r="D401" s="31">
        <f>IF(B401="",C401,C401)</f>
        <v>14.234172214285717</v>
      </c>
      <c r="G401" s="65"/>
    </row>
    <row r="402" spans="1:25">
      <c r="I402" s="120"/>
      <c r="J402" s="120"/>
    </row>
    <row r="403" spans="1:25">
      <c r="A403" s="39" t="s">
        <v>385</v>
      </c>
      <c r="B403" s="180"/>
      <c r="C403" s="115"/>
      <c r="D403" s="180"/>
      <c r="E403" s="180"/>
    </row>
    <row r="404" spans="1:25">
      <c r="A404" s="103"/>
      <c r="B404" s="41"/>
      <c r="C404" s="149">
        <v>0</v>
      </c>
      <c r="D404" s="70">
        <f>IF(B404="",C404,B404)</f>
        <v>0</v>
      </c>
    </row>
    <row r="405" spans="1:25">
      <c r="A405" s="103"/>
      <c r="B405" s="41"/>
      <c r="C405" s="149">
        <v>0</v>
      </c>
      <c r="D405" s="70">
        <f>IF(B405="",C405,B405)</f>
        <v>0</v>
      </c>
    </row>
    <row r="406" spans="1:25">
      <c r="A406" s="103"/>
      <c r="B406" s="41"/>
      <c r="C406" s="149">
        <v>0</v>
      </c>
      <c r="D406" s="70">
        <f>IF(B406="",C406,B406)</f>
        <v>0</v>
      </c>
    </row>
    <row r="408" spans="1:25">
      <c r="A408" s="39" t="s">
        <v>386</v>
      </c>
      <c r="B408" s="180"/>
      <c r="C408" s="115"/>
      <c r="D408" s="180"/>
      <c r="E408" s="180"/>
    </row>
    <row r="409" spans="1:25">
      <c r="A409" s="186"/>
      <c r="B409" s="185"/>
      <c r="C409" s="149">
        <v>0</v>
      </c>
      <c r="D409" s="70">
        <f>IF(B409="",C409,B409)</f>
        <v>0</v>
      </c>
    </row>
    <row r="410" spans="1:25">
      <c r="A410" s="187"/>
      <c r="B410" s="185"/>
      <c r="C410" s="149">
        <v>0</v>
      </c>
      <c r="D410" s="70">
        <f>IF(B410="",C410,B410)</f>
        <v>0</v>
      </c>
    </row>
    <row r="411" spans="1:25">
      <c r="A411" s="187"/>
      <c r="B411" s="185"/>
      <c r="C411" s="149">
        <v>0</v>
      </c>
      <c r="D411" s="70">
        <f>IF(B411="",C411,B411)</f>
        <v>0</v>
      </c>
    </row>
    <row r="412" spans="1:25">
      <c r="N412" t="s">
        <v>396</v>
      </c>
      <c r="X412" s="16"/>
      <c r="Y412" s="16"/>
    </row>
    <row r="413" spans="1:25" hidden="1" outlineLevel="1">
      <c r="N413" t="s">
        <v>397</v>
      </c>
    </row>
    <row r="414" spans="1:25" ht="18.45" hidden="1" outlineLevel="1">
      <c r="A414" s="181" t="s">
        <v>398</v>
      </c>
      <c r="N414" t="s">
        <v>399</v>
      </c>
    </row>
    <row r="415" spans="1:25" hidden="1" outlineLevel="1">
      <c r="A415" s="57"/>
      <c r="D415" s="57" t="s">
        <v>392</v>
      </c>
      <c r="E415" s="57"/>
      <c r="F415" s="57" t="s">
        <v>56</v>
      </c>
      <c r="G415" s="57"/>
      <c r="I415" s="57" t="s">
        <v>88</v>
      </c>
      <c r="N415" s="57" t="s">
        <v>400</v>
      </c>
    </row>
    <row r="416" spans="1:25" hidden="1" outlineLevel="1">
      <c r="A416" s="57" t="s">
        <v>401</v>
      </c>
      <c r="B416" s="57" t="s">
        <v>134</v>
      </c>
      <c r="C416" s="57" t="s">
        <v>402</v>
      </c>
      <c r="D416" s="57" t="s">
        <v>403</v>
      </c>
      <c r="E416" s="57" t="s">
        <v>51</v>
      </c>
      <c r="F416" s="57" t="s">
        <v>405</v>
      </c>
      <c r="G416" s="57" t="s">
        <v>205</v>
      </c>
      <c r="H416" s="57" t="s">
        <v>406</v>
      </c>
      <c r="I416" s="57" t="s">
        <v>407</v>
      </c>
      <c r="J416" s="57" t="s">
        <v>408</v>
      </c>
      <c r="K416" s="57" t="s">
        <v>409</v>
      </c>
      <c r="L416" s="57" t="s">
        <v>206</v>
      </c>
      <c r="M416" s="57" t="s">
        <v>410</v>
      </c>
      <c r="N416" s="57" t="s">
        <v>411</v>
      </c>
      <c r="O416" s="57" t="s">
        <v>51</v>
      </c>
      <c r="P416" s="57" t="s">
        <v>412</v>
      </c>
    </row>
    <row r="417" spans="1:19" hidden="1" outlineLevel="1">
      <c r="A417" t="s">
        <v>509</v>
      </c>
      <c r="B417" t="str">
        <f t="shared" ref="B417:B422" si="104">A393</f>
        <v>General practitioner</v>
      </c>
      <c r="C417" t="str">
        <f>IF($D$388="Additional","Add","Repurpose")</f>
        <v>Add</v>
      </c>
      <c r="D417" s="177">
        <f t="shared" ref="D417:D422" si="105">D393*$D$389*60*52*N417</f>
        <v>0</v>
      </c>
      <c r="E417" s="30">
        <f>F393*52*O417</f>
        <v>0</v>
      </c>
      <c r="F417" s="38">
        <f>E417*_xlfn.XLOOKUP($B417,'Practice Inputs'!$A$54:$A$67,'Practice Inputs'!$K$54:$K$67,0)</f>
        <v>0</v>
      </c>
      <c r="G417" s="38"/>
      <c r="H417" s="38">
        <f>SUM(F417:G417)</f>
        <v>0</v>
      </c>
      <c r="I417" s="38">
        <f t="shared" ref="I417:I422" si="106">E393*52</f>
        <v>0</v>
      </c>
      <c r="J417" s="38">
        <f>E417*'Practice Inputs'!$D$141/SUM('Practice Inputs'!$H$54:$H$67)*P417</f>
        <v>0</v>
      </c>
      <c r="K417" s="38">
        <v>0</v>
      </c>
      <c r="L417" s="38">
        <f>SUM(I417:K417)</f>
        <v>0</v>
      </c>
      <c r="M417" s="38">
        <f>H417-L417</f>
        <v>0</v>
      </c>
      <c r="N417">
        <f>IF(C417="Repurpose",0,1)</f>
        <v>1</v>
      </c>
      <c r="O417">
        <f>IF(C417="Repurpose",-1,IF(C417="Add",1,0))</f>
        <v>1</v>
      </c>
      <c r="P417">
        <f>IF(C417="Add",1,0)</f>
        <v>1</v>
      </c>
    </row>
    <row r="418" spans="1:19" hidden="1" outlineLevel="1">
      <c r="B418" t="str">
        <f t="shared" si="104"/>
        <v>Nurse practitioner</v>
      </c>
      <c r="C418" t="str">
        <f t="shared" ref="C418:C422" si="107">IF($D$388="Additional","Add","Repurpose")</f>
        <v>Add</v>
      </c>
      <c r="D418" s="177">
        <f t="shared" si="105"/>
        <v>0</v>
      </c>
      <c r="E418" s="30">
        <f t="shared" ref="E418:E422" si="108">F394*52*O418</f>
        <v>0</v>
      </c>
      <c r="F418" s="38">
        <f>E418*_xlfn.XLOOKUP($B418,'Practice Inputs'!$A$54:$A$67,'Practice Inputs'!$K$54:$K$67,0)</f>
        <v>0</v>
      </c>
      <c r="G418" s="38"/>
      <c r="H418" s="38">
        <f>SUM(F418:G418)</f>
        <v>0</v>
      </c>
      <c r="I418" s="38">
        <f t="shared" si="106"/>
        <v>0</v>
      </c>
      <c r="J418" s="38">
        <f>E418*'Practice Inputs'!$D$141/SUM('Practice Inputs'!$H$54:$H$67)*P418</f>
        <v>0</v>
      </c>
      <c r="K418" s="38">
        <v>0</v>
      </c>
      <c r="L418" s="38">
        <f>SUM(I418:K418)</f>
        <v>0</v>
      </c>
      <c r="M418" s="38">
        <f t="shared" ref="M418" si="109">H418-L418</f>
        <v>0</v>
      </c>
      <c r="N418">
        <f t="shared" ref="N418:N422" si="110">IF(C418="Repurpose",0,1)</f>
        <v>1</v>
      </c>
      <c r="O418">
        <f t="shared" ref="O418:O422" si="111">IF(C418="Repurpose",-1,IF(C418="Add",1,0))</f>
        <v>1</v>
      </c>
      <c r="P418">
        <f t="shared" ref="P418:P422" si="112">IF(C418="Add",1,0)</f>
        <v>1</v>
      </c>
    </row>
    <row r="419" spans="1:19" hidden="1" outlineLevel="1">
      <c r="B419" t="str">
        <f t="shared" si="104"/>
        <v>Nurse</v>
      </c>
      <c r="C419" t="str">
        <f t="shared" si="107"/>
        <v>Add</v>
      </c>
      <c r="D419" s="177">
        <f t="shared" si="105"/>
        <v>0</v>
      </c>
      <c r="E419" s="30">
        <f t="shared" si="108"/>
        <v>0</v>
      </c>
      <c r="F419" s="38">
        <f>E419*_xlfn.XLOOKUP($B419,'Practice Inputs'!$A$54:$A$67,'Practice Inputs'!$K$54:$K$67,0)</f>
        <v>0</v>
      </c>
      <c r="G419" s="38"/>
      <c r="H419" s="38">
        <f>SUM(F419:G419)</f>
        <v>0</v>
      </c>
      <c r="I419" s="38">
        <f t="shared" si="106"/>
        <v>0</v>
      </c>
      <c r="J419" s="38">
        <f>E419*'Practice Inputs'!$D$141/SUM('Practice Inputs'!$H$54:$H$67)*P419</f>
        <v>0</v>
      </c>
      <c r="K419" s="38">
        <v>0</v>
      </c>
      <c r="L419" s="38">
        <f>SUM(I419:K419)</f>
        <v>0</v>
      </c>
      <c r="M419" s="38">
        <f>H419-L419</f>
        <v>0</v>
      </c>
      <c r="N419">
        <f t="shared" si="110"/>
        <v>1</v>
      </c>
      <c r="O419">
        <f t="shared" si="111"/>
        <v>1</v>
      </c>
      <c r="P419">
        <f t="shared" si="112"/>
        <v>1</v>
      </c>
    </row>
    <row r="420" spans="1:19" hidden="1" outlineLevel="1">
      <c r="B420">
        <f t="shared" si="104"/>
        <v>0</v>
      </c>
      <c r="C420" t="str">
        <f t="shared" si="107"/>
        <v>Add</v>
      </c>
      <c r="D420" s="177">
        <f t="shared" si="105"/>
        <v>0</v>
      </c>
      <c r="E420" s="30">
        <f t="shared" si="108"/>
        <v>0</v>
      </c>
      <c r="F420" s="38">
        <f>E420*_xlfn.XLOOKUP($B420,'Practice Inputs'!$A$54:$A$67,'Practice Inputs'!$K$54:$K$67,0)</f>
        <v>0</v>
      </c>
      <c r="G420" s="38"/>
      <c r="H420" s="38">
        <f t="shared" ref="H420:H422" si="113">SUM(F420:G420)</f>
        <v>0</v>
      </c>
      <c r="I420" s="38">
        <f t="shared" si="106"/>
        <v>0</v>
      </c>
      <c r="J420" s="38">
        <f>E420*'Practice Inputs'!$D$141/SUM('Practice Inputs'!$H$54:$H$67)*P420</f>
        <v>0</v>
      </c>
      <c r="K420" s="38">
        <v>0</v>
      </c>
      <c r="L420" s="38">
        <f t="shared" ref="L420:L422" si="114">SUM(I420:K420)</f>
        <v>0</v>
      </c>
      <c r="M420" s="38">
        <f t="shared" ref="M420:M422" si="115">H420-L420</f>
        <v>0</v>
      </c>
      <c r="N420">
        <f t="shared" si="110"/>
        <v>1</v>
      </c>
      <c r="O420">
        <f t="shared" si="111"/>
        <v>1</v>
      </c>
      <c r="P420">
        <f t="shared" si="112"/>
        <v>1</v>
      </c>
    </row>
    <row r="421" spans="1:19" hidden="1" outlineLevel="1">
      <c r="B421">
        <f t="shared" si="104"/>
        <v>0</v>
      </c>
      <c r="C421" t="str">
        <f t="shared" si="107"/>
        <v>Add</v>
      </c>
      <c r="D421" s="177">
        <f t="shared" si="105"/>
        <v>0</v>
      </c>
      <c r="E421" s="30">
        <f t="shared" si="108"/>
        <v>0</v>
      </c>
      <c r="F421" s="38">
        <f>E421*_xlfn.XLOOKUP($B421,'Practice Inputs'!$A$54:$A$67,'Practice Inputs'!$K$54:$K$67,0)</f>
        <v>0</v>
      </c>
      <c r="G421" s="38"/>
      <c r="H421" s="38"/>
      <c r="I421" s="38">
        <f t="shared" si="106"/>
        <v>0</v>
      </c>
      <c r="J421" s="38">
        <f>E421*'Practice Inputs'!$D$141/SUM('Practice Inputs'!$H$54:$H$67)*P421</f>
        <v>0</v>
      </c>
      <c r="K421" s="38">
        <v>0</v>
      </c>
      <c r="L421" s="38"/>
      <c r="M421" s="38"/>
      <c r="N421">
        <f t="shared" si="110"/>
        <v>1</v>
      </c>
      <c r="O421">
        <f t="shared" si="111"/>
        <v>1</v>
      </c>
      <c r="P421">
        <f t="shared" si="112"/>
        <v>1</v>
      </c>
    </row>
    <row r="422" spans="1:19" hidden="1" outlineLevel="1">
      <c r="B422">
        <f t="shared" si="104"/>
        <v>0</v>
      </c>
      <c r="C422" t="str">
        <f t="shared" si="107"/>
        <v>Add</v>
      </c>
      <c r="D422" s="177">
        <f t="shared" si="105"/>
        <v>0</v>
      </c>
      <c r="E422" s="30">
        <f t="shared" si="108"/>
        <v>0</v>
      </c>
      <c r="F422" s="38">
        <f>E422*_xlfn.XLOOKUP($B422,'Practice Inputs'!$A$54:$A$67,'Practice Inputs'!$K$54:$K$67,0)</f>
        <v>0</v>
      </c>
      <c r="G422" s="38"/>
      <c r="H422" s="38">
        <f t="shared" si="113"/>
        <v>0</v>
      </c>
      <c r="I422" s="38">
        <f t="shared" si="106"/>
        <v>0</v>
      </c>
      <c r="J422" s="38">
        <f>E422*'Practice Inputs'!$D$141/SUM('Practice Inputs'!$H$54:$H$67)*P422</f>
        <v>0</v>
      </c>
      <c r="K422" s="38">
        <v>0</v>
      </c>
      <c r="L422" s="38">
        <f t="shared" si="114"/>
        <v>0</v>
      </c>
      <c r="M422" s="38">
        <f t="shared" si="115"/>
        <v>0</v>
      </c>
      <c r="N422">
        <f t="shared" si="110"/>
        <v>1</v>
      </c>
      <c r="O422">
        <f t="shared" si="111"/>
        <v>1</v>
      </c>
      <c r="P422">
        <f t="shared" si="112"/>
        <v>1</v>
      </c>
    </row>
    <row r="423" spans="1:19" hidden="1" outlineLevel="1">
      <c r="B423" s="57" t="s">
        <v>92</v>
      </c>
      <c r="D423" s="58">
        <f t="shared" ref="D423:M423" si="116">SUM(D417:D422)</f>
        <v>0</v>
      </c>
      <c r="E423" s="58">
        <f t="shared" si="116"/>
        <v>0</v>
      </c>
      <c r="F423" s="59">
        <f t="shared" si="116"/>
        <v>0</v>
      </c>
      <c r="G423" s="59">
        <f t="shared" si="116"/>
        <v>0</v>
      </c>
      <c r="H423" s="59">
        <f t="shared" si="116"/>
        <v>0</v>
      </c>
      <c r="I423" s="59">
        <f t="shared" si="116"/>
        <v>0</v>
      </c>
      <c r="J423" s="59">
        <f t="shared" si="116"/>
        <v>0</v>
      </c>
      <c r="K423" s="59">
        <f t="shared" si="116"/>
        <v>0</v>
      </c>
      <c r="L423" s="59">
        <f t="shared" si="116"/>
        <v>0</v>
      </c>
      <c r="M423" s="59">
        <f t="shared" si="116"/>
        <v>0</v>
      </c>
      <c r="P423" s="59"/>
      <c r="Q423" s="59"/>
      <c r="R423" s="59"/>
      <c r="S423" s="59"/>
    </row>
    <row r="424" spans="1:19" hidden="1" outlineLevel="1">
      <c r="F424" s="58"/>
      <c r="G424" s="58"/>
      <c r="H424" s="59"/>
      <c r="I424" s="59"/>
      <c r="J424" s="59"/>
      <c r="K424" s="59"/>
      <c r="L424" s="59"/>
      <c r="M424" s="59"/>
      <c r="N424" s="59"/>
      <c r="O424" s="59"/>
    </row>
    <row r="425" spans="1:19" collapsed="1"/>
    <row r="426" spans="1:19" s="85" customFormat="1" ht="18.45">
      <c r="A426"/>
      <c r="B426"/>
      <c r="C426"/>
      <c r="D426"/>
      <c r="E426"/>
      <c r="F426"/>
      <c r="G426"/>
      <c r="H426"/>
      <c r="I426"/>
      <c r="J426"/>
      <c r="K426"/>
      <c r="L426"/>
      <c r="M426"/>
      <c r="N426"/>
      <c r="O426"/>
      <c r="P426"/>
      <c r="Q426"/>
      <c r="R426"/>
      <c r="S426"/>
    </row>
    <row r="427" spans="1:19" s="85" customFormat="1" ht="18.45">
      <c r="A427" s="84" t="s">
        <v>145</v>
      </c>
      <c r="B427" s="84"/>
      <c r="C427" s="84"/>
      <c r="D427" s="84"/>
      <c r="E427" s="84"/>
      <c r="F427" s="84"/>
      <c r="G427" s="84"/>
      <c r="H427" s="84"/>
      <c r="I427" s="84"/>
      <c r="J427" s="84"/>
      <c r="K427" s="84"/>
      <c r="L427" s="84"/>
      <c r="M427" s="84"/>
      <c r="N427" s="84"/>
      <c r="O427" s="84"/>
      <c r="P427" s="84"/>
      <c r="Q427" s="84"/>
      <c r="R427" s="84"/>
      <c r="S427" s="84"/>
    </row>
    <row r="428" spans="1:19">
      <c r="E428" s="2"/>
      <c r="F428" s="50"/>
    </row>
    <row r="429" spans="1:19" ht="18.899999999999999" thickBot="1">
      <c r="A429" s="128" t="s">
        <v>147</v>
      </c>
      <c r="B429" s="119"/>
      <c r="C429" s="119"/>
      <c r="D429" s="119"/>
      <c r="E429" s="119"/>
      <c r="F429" s="119"/>
      <c r="G429" s="119"/>
      <c r="H429" s="119"/>
      <c r="I429" s="128"/>
      <c r="J429" s="119"/>
      <c r="K429" s="119"/>
      <c r="L429" s="119"/>
      <c r="M429" s="119"/>
      <c r="N429" s="119"/>
      <c r="O429" s="119"/>
      <c r="P429" s="119"/>
      <c r="Q429" s="119"/>
      <c r="R429" s="119"/>
      <c r="S429" s="119"/>
    </row>
    <row r="430" spans="1:19" ht="18.45">
      <c r="A430" s="182"/>
      <c r="I430" s="182"/>
    </row>
    <row r="431" spans="1:19" ht="18.45">
      <c r="A431" s="183" t="s">
        <v>28</v>
      </c>
      <c r="I431" s="16"/>
    </row>
    <row r="432" spans="1:19" ht="15.9">
      <c r="A432" s="43"/>
      <c r="B432" s="180" t="s">
        <v>264</v>
      </c>
      <c r="C432" s="115" t="s">
        <v>119</v>
      </c>
      <c r="D432" s="180" t="s">
        <v>266</v>
      </c>
      <c r="F432" s="115"/>
      <c r="I432" s="61"/>
      <c r="J432" s="16"/>
    </row>
    <row r="434" spans="1:14">
      <c r="A434" t="s">
        <v>510</v>
      </c>
      <c r="B434" s="246">
        <f>'Business efficiency'!G20</f>
        <v>0</v>
      </c>
      <c r="C434" s="184">
        <f>_xlfn.XLOOKUP($A434,'Practice Inputs'!$A$108:$A$127,'Practice Inputs'!$F$28:$F$47,0)</f>
        <v>0</v>
      </c>
      <c r="D434" s="55">
        <f>IF(B434="",C434,B434)</f>
        <v>0</v>
      </c>
      <c r="F434" s="151"/>
      <c r="G434" s="151"/>
      <c r="I434" s="120"/>
      <c r="J434" s="120"/>
    </row>
    <row r="435" spans="1:14">
      <c r="I435" s="120"/>
      <c r="J435" s="120"/>
    </row>
    <row r="436" spans="1:14">
      <c r="A436" s="39" t="s">
        <v>385</v>
      </c>
      <c r="B436" s="180"/>
      <c r="C436" s="115"/>
      <c r="D436" s="180"/>
      <c r="E436" s="180"/>
    </row>
    <row r="437" spans="1:14" s="278" customFormat="1">
      <c r="A437" s="278" t="s">
        <v>511</v>
      </c>
      <c r="B437" s="283"/>
      <c r="C437" s="283"/>
      <c r="D437" s="283"/>
      <c r="E437" s="283"/>
    </row>
    <row r="438" spans="1:14">
      <c r="A438" s="103"/>
      <c r="B438" s="41"/>
      <c r="C438" s="149">
        <v>0</v>
      </c>
      <c r="D438" s="70">
        <f>IF(B438="",C438,B438)</f>
        <v>0</v>
      </c>
    </row>
    <row r="439" spans="1:14">
      <c r="A439" s="103"/>
      <c r="B439" s="41"/>
      <c r="C439" s="149">
        <v>0</v>
      </c>
      <c r="D439" s="70">
        <f>IF(B439="",C439,B439)</f>
        <v>0</v>
      </c>
    </row>
    <row r="440" spans="1:14">
      <c r="A440" s="103"/>
      <c r="B440" s="41"/>
      <c r="C440" s="149">
        <v>0</v>
      </c>
      <c r="D440" s="70">
        <f>IF(B440="",C440,B440)</f>
        <v>0</v>
      </c>
    </row>
    <row r="442" spans="1:14">
      <c r="A442" s="39" t="s">
        <v>512</v>
      </c>
      <c r="B442" s="180"/>
      <c r="C442" s="115"/>
      <c r="D442" s="180"/>
      <c r="E442" s="180"/>
    </row>
    <row r="443" spans="1:14" s="278" customFormat="1">
      <c r="A443" s="278" t="s">
        <v>513</v>
      </c>
      <c r="B443" s="284">
        <v>2000</v>
      </c>
    </row>
    <row r="444" spans="1:14">
      <c r="A444" s="186"/>
      <c r="B444" s="185"/>
      <c r="C444" s="149">
        <v>0</v>
      </c>
      <c r="D444" s="70">
        <f>IF(B444="",C444,B444)</f>
        <v>0</v>
      </c>
    </row>
    <row r="445" spans="1:14">
      <c r="A445" s="187"/>
      <c r="B445" s="185"/>
      <c r="C445" s="149">
        <v>0</v>
      </c>
      <c r="D445" s="70">
        <f>IF(B445="",C445,B445)</f>
        <v>0</v>
      </c>
    </row>
    <row r="446" spans="1:14">
      <c r="A446" s="187"/>
      <c r="B446" s="185"/>
      <c r="C446" s="149">
        <v>0</v>
      </c>
      <c r="D446" s="70">
        <f>IF(B446="",C446,B446)</f>
        <v>0</v>
      </c>
    </row>
    <row r="447" spans="1:14">
      <c r="A447" s="187"/>
      <c r="B447" s="185"/>
      <c r="C447" s="149">
        <v>0</v>
      </c>
      <c r="D447" s="70">
        <f>IF(B447="",C447,B447)</f>
        <v>0</v>
      </c>
      <c r="N447" t="s">
        <v>396</v>
      </c>
    </row>
    <row r="448" spans="1:14">
      <c r="N448" t="s">
        <v>397</v>
      </c>
    </row>
    <row r="449" spans="1:19" ht="18.45" hidden="1" outlineLevel="1">
      <c r="A449" s="181" t="s">
        <v>398</v>
      </c>
      <c r="N449" t="s">
        <v>399</v>
      </c>
    </row>
    <row r="450" spans="1:19" hidden="1" outlineLevel="1">
      <c r="A450" s="57"/>
      <c r="D450" s="57" t="s">
        <v>392</v>
      </c>
      <c r="E450" s="57"/>
      <c r="F450" s="57" t="s">
        <v>56</v>
      </c>
      <c r="G450" s="57"/>
      <c r="I450" s="57" t="s">
        <v>88</v>
      </c>
      <c r="N450" s="57" t="s">
        <v>400</v>
      </c>
    </row>
    <row r="451" spans="1:19" hidden="1" outlineLevel="1">
      <c r="A451" s="57" t="s">
        <v>401</v>
      </c>
      <c r="B451" s="57" t="s">
        <v>134</v>
      </c>
      <c r="C451" s="57" t="s">
        <v>402</v>
      </c>
      <c r="D451" s="57" t="s">
        <v>403</v>
      </c>
      <c r="E451" s="57" t="s">
        <v>51</v>
      </c>
      <c r="F451" s="57" t="s">
        <v>405</v>
      </c>
      <c r="G451" s="57" t="s">
        <v>205</v>
      </c>
      <c r="H451" s="57" t="s">
        <v>406</v>
      </c>
      <c r="I451" s="57" t="s">
        <v>407</v>
      </c>
      <c r="J451" s="57" t="s">
        <v>408</v>
      </c>
      <c r="K451" s="57" t="s">
        <v>409</v>
      </c>
      <c r="L451" s="57" t="s">
        <v>206</v>
      </c>
      <c r="M451" s="57" t="s">
        <v>410</v>
      </c>
      <c r="N451" s="57" t="s">
        <v>411</v>
      </c>
      <c r="O451" s="57" t="s">
        <v>51</v>
      </c>
      <c r="P451" s="57" t="s">
        <v>412</v>
      </c>
    </row>
    <row r="452" spans="1:19" hidden="1" outlineLevel="1">
      <c r="A452" t="s">
        <v>509</v>
      </c>
      <c r="B452" t="s">
        <v>137</v>
      </c>
      <c r="C452" t="s">
        <v>440</v>
      </c>
      <c r="D452" s="177">
        <f>D434*_xlfn.XLOOKUP(B452,'Practice Inputs'!$A$28:$A$47,'Practice Inputs'!$L$28:$L$47,1920)*60*N452</f>
        <v>0</v>
      </c>
      <c r="E452" s="30">
        <v>0</v>
      </c>
      <c r="F452" s="38">
        <f>E452*_xlfn.XLOOKUP($B452,'Practice Inputs'!$A$54:$A$67,'Practice Inputs'!$K$54:$K$67,0)</f>
        <v>0</v>
      </c>
      <c r="G452" s="38"/>
      <c r="H452" s="38">
        <f>SUM(F452:G452)</f>
        <v>0</v>
      </c>
      <c r="I452" s="38">
        <f>D452*_xlfn.XLOOKUP(B452,'Practice Inputs'!$A$28:$A$47,'Practice Inputs'!$J$28:$J$47,0)</f>
        <v>0</v>
      </c>
      <c r="J452" s="38"/>
      <c r="K452" s="38">
        <v>0</v>
      </c>
      <c r="L452" s="38">
        <f>SUM(I452:K452)</f>
        <v>0</v>
      </c>
      <c r="M452" s="38">
        <f>H452-L452</f>
        <v>0</v>
      </c>
      <c r="N452">
        <f>IF(C452="Repurpose",0,1)</f>
        <v>1</v>
      </c>
      <c r="O452">
        <f>IF(C452="Repurpose",-1,IF(C452="Add",1,0))</f>
        <v>1</v>
      </c>
      <c r="P452">
        <f>IF(C452="Add",1,0)</f>
        <v>1</v>
      </c>
    </row>
    <row r="453" spans="1:19" hidden="1" outlineLevel="1">
      <c r="A453" s="16" t="s">
        <v>514</v>
      </c>
      <c r="B453" t="s">
        <v>501</v>
      </c>
      <c r="D453" s="177"/>
      <c r="E453" s="30">
        <f>F432*52</f>
        <v>0</v>
      </c>
      <c r="F453" s="38">
        <f>E453*_xlfn.XLOOKUP($B453,'Practice Inputs'!$A$54:$A$67,'Practice Inputs'!$K$54:$K$67,0)</f>
        <v>0</v>
      </c>
      <c r="G453" s="38"/>
      <c r="H453" s="38">
        <f>SUM(F453:G453)</f>
        <v>0</v>
      </c>
      <c r="I453" s="38">
        <f>D453*_xlfn.XLOOKUP(B453,'Practice Inputs'!$A$28:$A$47,'Practice Inputs'!$J$28:$J$47,0)</f>
        <v>0</v>
      </c>
      <c r="J453" s="38"/>
      <c r="K453" s="38">
        <f>SUM(D444:D447)</f>
        <v>0</v>
      </c>
      <c r="L453" s="38">
        <f>SUM(I453:K453)</f>
        <v>0</v>
      </c>
      <c r="M453" s="38">
        <f t="shared" ref="M453" si="117">H453-L453</f>
        <v>0</v>
      </c>
    </row>
    <row r="454" spans="1:19" hidden="1" outlineLevel="1">
      <c r="B454" s="57" t="s">
        <v>92</v>
      </c>
      <c r="D454" s="58">
        <f t="shared" ref="D454:M454" si="118">SUM(D452:D453)</f>
        <v>0</v>
      </c>
      <c r="E454" s="58">
        <f t="shared" si="118"/>
        <v>0</v>
      </c>
      <c r="F454" s="59">
        <f t="shared" si="118"/>
        <v>0</v>
      </c>
      <c r="G454" s="59">
        <f t="shared" si="118"/>
        <v>0</v>
      </c>
      <c r="H454" s="59">
        <f t="shared" si="118"/>
        <v>0</v>
      </c>
      <c r="I454" s="59">
        <f t="shared" si="118"/>
        <v>0</v>
      </c>
      <c r="J454" s="59">
        <f t="shared" si="118"/>
        <v>0</v>
      </c>
      <c r="K454" s="59">
        <f t="shared" si="118"/>
        <v>0</v>
      </c>
      <c r="L454" s="59">
        <f t="shared" si="118"/>
        <v>0</v>
      </c>
      <c r="M454" s="59">
        <f t="shared" si="118"/>
        <v>0</v>
      </c>
      <c r="P454" s="59"/>
      <c r="Q454" s="59"/>
      <c r="R454" s="59"/>
      <c r="S454" s="59"/>
    </row>
    <row r="455" spans="1:19" collapsed="1">
      <c r="B455" s="57"/>
      <c r="D455" s="58"/>
      <c r="E455" s="58"/>
      <c r="F455" s="59"/>
      <c r="G455" s="59"/>
      <c r="H455" s="59"/>
      <c r="I455" s="59"/>
      <c r="J455" s="59"/>
      <c r="K455" s="59"/>
      <c r="L455" s="59"/>
      <c r="M455" s="59"/>
      <c r="P455" s="59"/>
      <c r="Q455" s="59"/>
      <c r="R455" s="59"/>
      <c r="S455" s="59"/>
    </row>
    <row r="456" spans="1:19">
      <c r="B456" s="57"/>
      <c r="D456" s="58"/>
      <c r="E456" s="58"/>
      <c r="F456" s="59"/>
      <c r="G456" s="59"/>
      <c r="H456" s="59"/>
      <c r="I456" s="59"/>
      <c r="J456" s="59"/>
      <c r="K456" s="59"/>
      <c r="L456" s="59"/>
      <c r="M456" s="59"/>
      <c r="P456" s="59"/>
      <c r="Q456" s="59"/>
      <c r="R456" s="59"/>
      <c r="S456" s="59"/>
    </row>
    <row r="457" spans="1:19" ht="18.899999999999999" thickBot="1">
      <c r="A457" s="128" t="s">
        <v>157</v>
      </c>
      <c r="B457" s="119"/>
      <c r="C457" s="119"/>
      <c r="D457" s="119"/>
      <c r="E457" s="119"/>
      <c r="F457" s="119"/>
      <c r="G457" s="119"/>
      <c r="H457" s="119"/>
      <c r="I457" s="128"/>
      <c r="J457" s="119"/>
      <c r="K457" s="119"/>
      <c r="L457" s="119"/>
      <c r="M457" s="119"/>
      <c r="N457" s="119"/>
      <c r="O457" s="119"/>
      <c r="P457" s="119"/>
      <c r="Q457" s="119"/>
      <c r="R457" s="119"/>
      <c r="S457" s="119"/>
    </row>
    <row r="458" spans="1:19" ht="18.45">
      <c r="A458" s="182"/>
      <c r="I458" s="182"/>
    </row>
    <row r="459" spans="1:19" ht="18.45">
      <c r="A459" s="183" t="s">
        <v>28</v>
      </c>
      <c r="I459" s="16"/>
    </row>
    <row r="460" spans="1:19" ht="15.9">
      <c r="A460" s="43"/>
      <c r="B460" s="180" t="s">
        <v>264</v>
      </c>
      <c r="C460" s="115" t="s">
        <v>119</v>
      </c>
      <c r="D460" s="180" t="s">
        <v>266</v>
      </c>
      <c r="F460" s="115"/>
      <c r="I460" s="61"/>
      <c r="J460" s="16"/>
    </row>
    <row r="462" spans="1:19">
      <c r="A462" t="s">
        <v>515</v>
      </c>
      <c r="B462" s="188"/>
      <c r="C462" s="189">
        <v>5</v>
      </c>
      <c r="D462" s="30">
        <f>IF(B462="",C462,B462)</f>
        <v>5</v>
      </c>
    </row>
    <row r="463" spans="1:19">
      <c r="A463" t="s">
        <v>516</v>
      </c>
      <c r="B463" s="188"/>
      <c r="C463" s="189">
        <v>15</v>
      </c>
      <c r="D463" s="30">
        <f>IF(B463="",C463,B463)</f>
        <v>15</v>
      </c>
    </row>
    <row r="464" spans="1:19">
      <c r="A464" t="s">
        <v>517</v>
      </c>
      <c r="B464" s="35"/>
      <c r="C464" s="191">
        <v>0.75</v>
      </c>
      <c r="D464" s="32">
        <f>IF(B464="",C464,B464)</f>
        <v>0.75</v>
      </c>
    </row>
    <row r="465" spans="1:16">
      <c r="A465" t="s">
        <v>518</v>
      </c>
      <c r="B465" s="190"/>
      <c r="C465" s="190"/>
      <c r="D465" s="190"/>
    </row>
    <row r="466" spans="1:16">
      <c r="B466" s="190"/>
      <c r="C466" s="190"/>
      <c r="D466" s="190"/>
    </row>
    <row r="467" spans="1:16">
      <c r="A467" s="39" t="s">
        <v>385</v>
      </c>
      <c r="B467" s="180"/>
      <c r="C467" s="115"/>
      <c r="D467" s="180"/>
      <c r="E467" s="180"/>
    </row>
    <row r="468" spans="1:16">
      <c r="A468" s="278" t="s">
        <v>519</v>
      </c>
      <c r="B468" s="284">
        <v>1000</v>
      </c>
      <c r="C468" s="115"/>
      <c r="D468" s="180"/>
      <c r="E468" s="180"/>
    </row>
    <row r="469" spans="1:16">
      <c r="A469" s="103"/>
      <c r="B469" s="41"/>
      <c r="C469" s="149">
        <v>0</v>
      </c>
      <c r="D469" s="70">
        <f>IF(B469="",C469,B469)</f>
        <v>0</v>
      </c>
    </row>
    <row r="470" spans="1:16">
      <c r="A470" s="103"/>
      <c r="B470" s="41"/>
      <c r="C470" s="149">
        <v>0</v>
      </c>
      <c r="D470" s="70">
        <f>IF(B470="",C470,B470)</f>
        <v>0</v>
      </c>
    </row>
    <row r="471" spans="1:16">
      <c r="A471" s="103"/>
      <c r="B471" s="41"/>
      <c r="C471" s="149">
        <v>0</v>
      </c>
      <c r="D471" s="70">
        <f>IF(B471="",C471,B471)</f>
        <v>0</v>
      </c>
    </row>
    <row r="473" spans="1:16">
      <c r="A473" s="39" t="s">
        <v>501</v>
      </c>
      <c r="B473" s="180"/>
      <c r="C473" s="115"/>
      <c r="D473" s="180"/>
      <c r="E473" s="180"/>
    </row>
    <row r="474" spans="1:16">
      <c r="A474" s="186"/>
      <c r="B474" s="185"/>
      <c r="C474" s="149">
        <v>0</v>
      </c>
      <c r="D474" s="70">
        <f>IF(B474="",C474,B474)</f>
        <v>0</v>
      </c>
    </row>
    <row r="475" spans="1:16">
      <c r="A475" s="187"/>
      <c r="B475" s="185"/>
      <c r="C475" s="149">
        <v>0</v>
      </c>
      <c r="D475" s="70">
        <f>IF(B475="",C475,B475)</f>
        <v>0</v>
      </c>
    </row>
    <row r="476" spans="1:16">
      <c r="A476" s="187"/>
      <c r="B476" s="185"/>
      <c r="C476" s="149">
        <v>0</v>
      </c>
      <c r="D476" s="70">
        <f>IF(B476="",C476,B476)</f>
        <v>0</v>
      </c>
      <c r="N476" t="s">
        <v>396</v>
      </c>
    </row>
    <row r="477" spans="1:16">
      <c r="N477" t="s">
        <v>397</v>
      </c>
    </row>
    <row r="478" spans="1:16" ht="18.45" hidden="1" outlineLevel="1">
      <c r="A478" s="181" t="s">
        <v>398</v>
      </c>
      <c r="N478" t="s">
        <v>399</v>
      </c>
    </row>
    <row r="479" spans="1:16" hidden="1" outlineLevel="1">
      <c r="A479" s="57"/>
      <c r="D479" s="57" t="s">
        <v>392</v>
      </c>
      <c r="E479" s="57"/>
      <c r="F479" s="57" t="s">
        <v>56</v>
      </c>
      <c r="G479" s="57"/>
      <c r="I479" s="57" t="s">
        <v>88</v>
      </c>
      <c r="N479" s="57" t="s">
        <v>400</v>
      </c>
    </row>
    <row r="480" spans="1:16" hidden="1" outlineLevel="1">
      <c r="A480" s="57" t="s">
        <v>401</v>
      </c>
      <c r="B480" s="57" t="s">
        <v>134</v>
      </c>
      <c r="C480" s="57" t="s">
        <v>402</v>
      </c>
      <c r="D480" s="57" t="s">
        <v>403</v>
      </c>
      <c r="E480" s="57" t="s">
        <v>51</v>
      </c>
      <c r="F480" s="57" t="s">
        <v>405</v>
      </c>
      <c r="G480" s="57" t="s">
        <v>205</v>
      </c>
      <c r="H480" s="57" t="s">
        <v>406</v>
      </c>
      <c r="I480" s="57" t="s">
        <v>407</v>
      </c>
      <c r="J480" s="57" t="s">
        <v>408</v>
      </c>
      <c r="K480" s="57" t="s">
        <v>409</v>
      </c>
      <c r="L480" s="57" t="s">
        <v>206</v>
      </c>
      <c r="M480" s="57" t="s">
        <v>410</v>
      </c>
      <c r="N480" s="57" t="s">
        <v>411</v>
      </c>
      <c r="O480" s="57" t="s">
        <v>51</v>
      </c>
      <c r="P480" s="57" t="s">
        <v>412</v>
      </c>
    </row>
    <row r="481" spans="1:16" hidden="1" outlineLevel="1">
      <c r="A481" t="s">
        <v>509</v>
      </c>
      <c r="B481" t="str">
        <f>'Practice Inputs'!A28</f>
        <v>General practitioner</v>
      </c>
      <c r="C481" t="s">
        <v>414</v>
      </c>
      <c r="D481" s="177">
        <f>($C$464*'Practice Inputs'!H28*$C$463*52)*N481</f>
        <v>0</v>
      </c>
      <c r="E481" s="30" cm="1">
        <f t="array" ref="E481" xml:space="preserve"> IFERROR((($C$464*'Practice Inputs'!H28*$C$463*5*52))/_xlfn.XLOOKUP(B481,'Practice Inputs'!$A$54:$A$67,'Practice Inputs'!$I$54:$I$67/'Practice Inputs'!$J$54:$J$67,0),0)*O481</f>
        <v>-490.14945652173924</v>
      </c>
      <c r="F481" s="38">
        <f>E481*_xlfn.XLOOKUP($B481,'Practice Inputs'!$A$54:$A$67,'Practice Inputs'!$K$54:$K$67,0)</f>
        <v>-16670.002580017339</v>
      </c>
      <c r="G481" s="38"/>
      <c r="H481" s="38">
        <f>SUM(F481:G481)</f>
        <v>-16670.002580017339</v>
      </c>
      <c r="I481" s="38">
        <f>D481*_xlfn.XLOOKUP(B481,'Practice Inputs'!$A$28:$A$47,'Practice Inputs'!$J$28:$J$47,0)</f>
        <v>0</v>
      </c>
      <c r="J481" s="38">
        <v>0</v>
      </c>
      <c r="K481" s="38"/>
      <c r="L481" s="38">
        <f>SUM(I481:K481)</f>
        <v>0</v>
      </c>
      <c r="M481" s="38">
        <f>H481-L481</f>
        <v>-16670.002580017339</v>
      </c>
      <c r="N481">
        <f>IF(C481="Repurpose",0,1)</f>
        <v>0</v>
      </c>
      <c r="O481">
        <f>IF(C481="Repurpose",-1,IF(C481="Add",1,0))</f>
        <v>-1</v>
      </c>
      <c r="P481">
        <f>IF(C481="Add",1,0)</f>
        <v>0</v>
      </c>
    </row>
    <row r="482" spans="1:16" hidden="1" outlineLevel="1">
      <c r="B482" t="str">
        <f>'Practice Inputs'!A29</f>
        <v>Nurse practitioner</v>
      </c>
      <c r="C482" t="s">
        <v>414</v>
      </c>
      <c r="D482" s="177">
        <f>($C$464*'Practice Inputs'!H29*$C$463*52)*N482</f>
        <v>0</v>
      </c>
      <c r="E482" s="30" cm="1">
        <f t="array" ref="E482" xml:space="preserve"> IFERROR((($C$464*'Practice Inputs'!H29*$C$463*5*52))/_xlfn.XLOOKUP(B482,'Practice Inputs'!$A$54:$A$67,'Practice Inputs'!$I$54:$I$67/'Practice Inputs'!$J$54:$J$67,0),0)*O482</f>
        <v>0</v>
      </c>
      <c r="F482" s="38">
        <f>E482*_xlfn.XLOOKUP($B482,'Practice Inputs'!$A$54:$A$67,'Practice Inputs'!$K$54:$K$67,0)</f>
        <v>0</v>
      </c>
      <c r="G482" s="38"/>
      <c r="H482" s="38">
        <f t="shared" ref="H482:H500" si="119">SUM(F482:G482)</f>
        <v>0</v>
      </c>
      <c r="I482" s="38">
        <f>D482*_xlfn.XLOOKUP(B482,'Practice Inputs'!$A$28:$A$47,'Practice Inputs'!$J$28:$J$47,0)</f>
        <v>0</v>
      </c>
      <c r="J482" s="38">
        <v>0</v>
      </c>
      <c r="K482" s="38"/>
      <c r="L482" s="38">
        <f t="shared" ref="L482:L500" si="120">SUM(I482:K482)</f>
        <v>0</v>
      </c>
      <c r="M482" s="38">
        <f t="shared" ref="M482:M500" si="121">H482-L482</f>
        <v>0</v>
      </c>
      <c r="N482">
        <f t="shared" ref="N482:N500" si="122">IF(C482="Repurpose",0,1)</f>
        <v>0</v>
      </c>
      <c r="O482">
        <f t="shared" ref="O482:O500" si="123">IF(C482="Repurpose",-1,IF(C482="Add",1,0))</f>
        <v>-1</v>
      </c>
      <c r="P482">
        <f t="shared" ref="P482:P500" si="124">IF(C482="Add",1,0)</f>
        <v>0</v>
      </c>
    </row>
    <row r="483" spans="1:16" hidden="1" outlineLevel="1">
      <c r="B483" t="str">
        <f>'Practice Inputs'!A30</f>
        <v>Nurse</v>
      </c>
      <c r="C483" t="s">
        <v>414</v>
      </c>
      <c r="D483" s="177">
        <f>($C$464*'Practice Inputs'!H30*$C$463*52)*N483</f>
        <v>0</v>
      </c>
      <c r="E483" s="30" cm="1">
        <f t="array" ref="E483" xml:space="preserve"> IFERROR((($C$464*'Practice Inputs'!H30*$C$463*5*52))/_xlfn.XLOOKUP(B483,'Practice Inputs'!$A$54:$A$67,'Practice Inputs'!$I$54:$I$67/'Practice Inputs'!$J$54:$J$67,0),0)*O483</f>
        <v>-66.236413043478265</v>
      </c>
      <c r="F483" s="38">
        <f>E483*_xlfn.XLOOKUP($B483,'Practice Inputs'!$A$54:$A$67,'Practice Inputs'!$K$54:$K$67,0)</f>
        <v>-57.596880907372409</v>
      </c>
      <c r="G483" s="38"/>
      <c r="H483" s="38">
        <f t="shared" si="119"/>
        <v>-57.596880907372409</v>
      </c>
      <c r="I483" s="38">
        <f>D483*_xlfn.XLOOKUP(B483,'Practice Inputs'!$A$28:$A$47,'Practice Inputs'!$J$28:$J$47,0)</f>
        <v>0</v>
      </c>
      <c r="J483" s="38">
        <v>0</v>
      </c>
      <c r="K483" s="38"/>
      <c r="L483" s="38">
        <f t="shared" si="120"/>
        <v>0</v>
      </c>
      <c r="M483" s="38">
        <f t="shared" si="121"/>
        <v>-57.596880907372409</v>
      </c>
      <c r="N483">
        <f t="shared" si="122"/>
        <v>0</v>
      </c>
      <c r="O483">
        <f t="shared" si="123"/>
        <v>-1</v>
      </c>
      <c r="P483">
        <f t="shared" si="124"/>
        <v>0</v>
      </c>
    </row>
    <row r="484" spans="1:16" hidden="1" outlineLevel="1">
      <c r="B484" t="str">
        <f>'Practice Inputs'!A31</f>
        <v>Healthcare Assistant</v>
      </c>
      <c r="C484" t="s">
        <v>414</v>
      </c>
      <c r="D484" s="177">
        <f>($C$464*'Practice Inputs'!H31*$C$463*52)*N484</f>
        <v>0</v>
      </c>
      <c r="E484" s="30" cm="1">
        <f t="array" ref="E484" xml:space="preserve"> IFERROR((($C$464*'Practice Inputs'!H31*$C$463*5*52))/_xlfn.XLOOKUP(B484,'Practice Inputs'!$A$54:$A$67,'Practice Inputs'!$I$54:$I$67/'Practice Inputs'!$J$54:$J$67,0),0)*O484</f>
        <v>0</v>
      </c>
      <c r="F484" s="38">
        <f>E484*_xlfn.XLOOKUP($B484,'Practice Inputs'!$A$54:$A$67,'Practice Inputs'!$K$54:$K$67,0)</f>
        <v>0</v>
      </c>
      <c r="G484" s="38"/>
      <c r="H484" s="38">
        <f t="shared" si="119"/>
        <v>0</v>
      </c>
      <c r="I484" s="38">
        <f>D484*_xlfn.XLOOKUP(B484,'Practice Inputs'!$A$28:$A$47,'Practice Inputs'!$J$28:$J$47,0)</f>
        <v>0</v>
      </c>
      <c r="J484" s="38">
        <v>0</v>
      </c>
      <c r="K484" s="38"/>
      <c r="L484" s="38">
        <f t="shared" si="120"/>
        <v>0</v>
      </c>
      <c r="M484" s="38">
        <f t="shared" si="121"/>
        <v>0</v>
      </c>
      <c r="N484">
        <f t="shared" si="122"/>
        <v>0</v>
      </c>
      <c r="O484">
        <f t="shared" si="123"/>
        <v>-1</v>
      </c>
      <c r="P484">
        <f t="shared" si="124"/>
        <v>0</v>
      </c>
    </row>
    <row r="485" spans="1:16" hidden="1" outlineLevel="1">
      <c r="B485" t="str">
        <f>'Practice Inputs'!A32</f>
        <v>Clinical Assistant</v>
      </c>
      <c r="C485" t="s">
        <v>414</v>
      </c>
      <c r="D485" s="177">
        <f>($C$464*'Practice Inputs'!H32*$C$463*52)*N485</f>
        <v>0</v>
      </c>
      <c r="E485" s="30" cm="1">
        <f t="array" ref="E485" xml:space="preserve"> IFERROR((($C$464*'Practice Inputs'!H32*$C$463*5*52))/_xlfn.XLOOKUP(B485,'Practice Inputs'!$A$54:$A$67,'Practice Inputs'!$I$54:$I$67/'Practice Inputs'!$J$54:$J$67,0),0)*O485</f>
        <v>0</v>
      </c>
      <c r="F485" s="38">
        <f>E485*_xlfn.XLOOKUP($B485,'Practice Inputs'!$A$54:$A$67,'Practice Inputs'!$K$54:$K$67,0)</f>
        <v>0</v>
      </c>
      <c r="G485" s="38"/>
      <c r="H485" s="38">
        <f t="shared" si="119"/>
        <v>0</v>
      </c>
      <c r="I485" s="38">
        <f>D485*_xlfn.XLOOKUP(B485,'Practice Inputs'!$A$28:$A$47,'Practice Inputs'!$J$28:$J$47,0)</f>
        <v>0</v>
      </c>
      <c r="J485" s="38">
        <v>0</v>
      </c>
      <c r="K485" s="38"/>
      <c r="L485" s="38">
        <f t="shared" si="120"/>
        <v>0</v>
      </c>
      <c r="M485" s="38">
        <f t="shared" si="121"/>
        <v>0</v>
      </c>
      <c r="N485">
        <f t="shared" si="122"/>
        <v>0</v>
      </c>
      <c r="O485">
        <f t="shared" si="123"/>
        <v>-1</v>
      </c>
      <c r="P485">
        <f t="shared" si="124"/>
        <v>0</v>
      </c>
    </row>
    <row r="486" spans="1:16" hidden="1" outlineLevel="1">
      <c r="B486" t="str">
        <f>'Practice Inputs'!A33</f>
        <v>Reception / Administrator</v>
      </c>
      <c r="C486" t="s">
        <v>414</v>
      </c>
      <c r="D486" s="177">
        <f>($C$464*'Practice Inputs'!H33*$C$463*52)*N486</f>
        <v>0</v>
      </c>
      <c r="E486" s="30" cm="1">
        <f t="array" ref="E486" xml:space="preserve"> IFERROR((($C$464*'Practice Inputs'!H33*$C$463*5*52))/_xlfn.XLOOKUP(B486,'Practice Inputs'!$A$54:$A$67,'Practice Inputs'!$I$54:$I$67/'Practice Inputs'!$J$54:$J$67,0),0)*O486</f>
        <v>0</v>
      </c>
      <c r="F486" s="38">
        <f>E486*_xlfn.XLOOKUP($B486,'Practice Inputs'!$A$54:$A$67,'Practice Inputs'!$K$54:$K$67,0)</f>
        <v>0</v>
      </c>
      <c r="G486" s="38"/>
      <c r="H486" s="38">
        <f t="shared" si="119"/>
        <v>0</v>
      </c>
      <c r="I486" s="38">
        <f>D486*_xlfn.XLOOKUP(B486,'Practice Inputs'!$A$28:$A$47,'Practice Inputs'!$J$28:$J$47,0)</f>
        <v>0</v>
      </c>
      <c r="J486" s="38">
        <v>0</v>
      </c>
      <c r="K486" s="38"/>
      <c r="L486" s="38">
        <f t="shared" si="120"/>
        <v>0</v>
      </c>
      <c r="M486" s="38">
        <f t="shared" si="121"/>
        <v>0</v>
      </c>
      <c r="N486">
        <f t="shared" si="122"/>
        <v>0</v>
      </c>
      <c r="O486">
        <f t="shared" si="123"/>
        <v>-1</v>
      </c>
      <c r="P486">
        <f t="shared" si="124"/>
        <v>0</v>
      </c>
    </row>
    <row r="487" spans="1:16" hidden="1" outlineLevel="1">
      <c r="B487" t="str">
        <f>'Practice Inputs'!A34</f>
        <v>Practice Manager</v>
      </c>
      <c r="C487" t="s">
        <v>414</v>
      </c>
      <c r="D487" s="177">
        <f>($C$464*'Practice Inputs'!H34*$C$463*52)*N487</f>
        <v>0</v>
      </c>
      <c r="E487" s="30" cm="1">
        <f t="array" ref="E487" xml:space="preserve"> IFERROR((($C$464*'Practice Inputs'!H34*$C$463*5*52))/_xlfn.XLOOKUP(B487,'Practice Inputs'!$A$54:$A$67,'Practice Inputs'!$I$54:$I$67/'Practice Inputs'!$J$54:$J$67,0),0)*O487</f>
        <v>0</v>
      </c>
      <c r="F487" s="38">
        <f>E487*_xlfn.XLOOKUP($B487,'Practice Inputs'!$A$54:$A$67,'Practice Inputs'!$K$54:$K$67,0)</f>
        <v>0</v>
      </c>
      <c r="G487" s="38"/>
      <c r="H487" s="38">
        <f t="shared" si="119"/>
        <v>0</v>
      </c>
      <c r="I487" s="38">
        <f>D487*_xlfn.XLOOKUP(B487,'Practice Inputs'!$A$28:$A$47,'Practice Inputs'!$J$28:$J$47,0)</f>
        <v>0</v>
      </c>
      <c r="J487" s="38">
        <v>0</v>
      </c>
      <c r="K487" s="38"/>
      <c r="L487" s="38">
        <f t="shared" si="120"/>
        <v>0</v>
      </c>
      <c r="M487" s="38">
        <f t="shared" si="121"/>
        <v>0</v>
      </c>
      <c r="N487">
        <f t="shared" si="122"/>
        <v>0</v>
      </c>
      <c r="O487">
        <f t="shared" si="123"/>
        <v>-1</v>
      </c>
      <c r="P487">
        <f t="shared" si="124"/>
        <v>0</v>
      </c>
    </row>
    <row r="488" spans="1:16" hidden="1" outlineLevel="1">
      <c r="B488" t="str">
        <f>'Practice Inputs'!A35</f>
        <v>Paramedic, extended care</v>
      </c>
      <c r="C488" t="s">
        <v>414</v>
      </c>
      <c r="D488" s="177">
        <f>($C$464*'Practice Inputs'!H35*$C$463*52)*N488</f>
        <v>0</v>
      </c>
      <c r="E488" s="30" cm="1">
        <f t="array" ref="E488" xml:space="preserve"> IFERROR((($C$464*'Practice Inputs'!H35*$C$463*5*52))/_xlfn.XLOOKUP(B488,'Practice Inputs'!$A$54:$A$67,'Practice Inputs'!$I$54:$I$67/'Practice Inputs'!$J$54:$J$67,0),0)*O488</f>
        <v>0</v>
      </c>
      <c r="F488" s="38">
        <f>E488*_xlfn.XLOOKUP($B488,'Practice Inputs'!$A$54:$A$67,'Practice Inputs'!$K$54:$K$67,0)</f>
        <v>0</v>
      </c>
      <c r="G488" s="38"/>
      <c r="H488" s="38">
        <f t="shared" si="119"/>
        <v>0</v>
      </c>
      <c r="I488" s="38">
        <f>D488*_xlfn.XLOOKUP(B488,'Practice Inputs'!$A$28:$A$47,'Practice Inputs'!$J$28:$J$47,0)</f>
        <v>0</v>
      </c>
      <c r="J488" s="38">
        <v>0</v>
      </c>
      <c r="K488" s="38"/>
      <c r="L488" s="38">
        <f t="shared" si="120"/>
        <v>0</v>
      </c>
      <c r="M488" s="38">
        <f t="shared" si="121"/>
        <v>0</v>
      </c>
      <c r="N488">
        <f t="shared" si="122"/>
        <v>0</v>
      </c>
      <c r="O488">
        <f t="shared" si="123"/>
        <v>-1</v>
      </c>
      <c r="P488">
        <f t="shared" si="124"/>
        <v>0</v>
      </c>
    </row>
    <row r="489" spans="1:16" hidden="1" outlineLevel="1">
      <c r="B489" t="str">
        <f>'Practice Inputs'!A36</f>
        <v>Pharmacist</v>
      </c>
      <c r="C489" t="s">
        <v>414</v>
      </c>
      <c r="D489" s="177">
        <f>($C$464*'Practice Inputs'!H36*$C$463*52)*N489</f>
        <v>0</v>
      </c>
      <c r="E489" s="30" cm="1">
        <f t="array" ref="E489" xml:space="preserve"> IFERROR((($C$464*'Practice Inputs'!H36*$C$463*5*52))/_xlfn.XLOOKUP(B489,'Practice Inputs'!$A$54:$A$67,'Practice Inputs'!$I$54:$I$67/'Practice Inputs'!$J$54:$J$67,0),0)*O489</f>
        <v>0</v>
      </c>
      <c r="F489" s="38">
        <f>E489*_xlfn.XLOOKUP($B489,'Practice Inputs'!$A$54:$A$67,'Practice Inputs'!$K$54:$K$67,0)</f>
        <v>0</v>
      </c>
      <c r="G489" s="38"/>
      <c r="H489" s="38">
        <f t="shared" si="119"/>
        <v>0</v>
      </c>
      <c r="I489" s="38">
        <f>D489*_xlfn.XLOOKUP(B489,'Practice Inputs'!$A$28:$A$47,'Practice Inputs'!$J$28:$J$47,0)</f>
        <v>0</v>
      </c>
      <c r="J489" s="38">
        <v>0</v>
      </c>
      <c r="K489" s="38"/>
      <c r="L489" s="38">
        <f t="shared" si="120"/>
        <v>0</v>
      </c>
      <c r="M489" s="38">
        <f t="shared" si="121"/>
        <v>0</v>
      </c>
      <c r="N489">
        <f t="shared" si="122"/>
        <v>0</v>
      </c>
      <c r="O489">
        <f t="shared" si="123"/>
        <v>-1</v>
      </c>
      <c r="P489">
        <f t="shared" si="124"/>
        <v>0</v>
      </c>
    </row>
    <row r="490" spans="1:16" hidden="1" outlineLevel="1">
      <c r="B490" t="str">
        <f>'Practice Inputs'!A37</f>
        <v>Podiatrist</v>
      </c>
      <c r="C490" t="s">
        <v>414</v>
      </c>
      <c r="D490" s="177">
        <f>($C$464*'Practice Inputs'!H37*$C$463*52)*N490</f>
        <v>0</v>
      </c>
      <c r="E490" s="30" cm="1">
        <f t="array" ref="E490" xml:space="preserve"> IFERROR((($C$464*'Practice Inputs'!H37*$C$463*5*52))/_xlfn.XLOOKUP(B490,'Practice Inputs'!$A$54:$A$67,'Practice Inputs'!$I$54:$I$67/'Practice Inputs'!$J$54:$J$67,0),0)*O490</f>
        <v>0</v>
      </c>
      <c r="F490" s="38">
        <f>E490*_xlfn.XLOOKUP($B490,'Practice Inputs'!$A$54:$A$67,'Practice Inputs'!$K$54:$K$67,0)</f>
        <v>0</v>
      </c>
      <c r="G490" s="38"/>
      <c r="H490" s="38">
        <f t="shared" si="119"/>
        <v>0</v>
      </c>
      <c r="I490" s="38">
        <f>D490*_xlfn.XLOOKUP(B490,'Practice Inputs'!$A$28:$A$47,'Practice Inputs'!$J$28:$J$47,0)</f>
        <v>0</v>
      </c>
      <c r="J490" s="38">
        <v>0</v>
      </c>
      <c r="K490" s="38"/>
      <c r="L490" s="38">
        <f t="shared" si="120"/>
        <v>0</v>
      </c>
      <c r="M490" s="38">
        <f t="shared" si="121"/>
        <v>0</v>
      </c>
      <c r="N490">
        <f t="shared" si="122"/>
        <v>0</v>
      </c>
      <c r="O490">
        <f t="shared" si="123"/>
        <v>-1</v>
      </c>
      <c r="P490">
        <f t="shared" si="124"/>
        <v>0</v>
      </c>
    </row>
    <row r="491" spans="1:16" hidden="1" outlineLevel="1">
      <c r="B491" t="str">
        <f>'Practice Inputs'!A38</f>
        <v>Physiotherapist</v>
      </c>
      <c r="C491" t="s">
        <v>414</v>
      </c>
      <c r="D491" s="177">
        <f>($C$464*'Practice Inputs'!H38*$C$463*52)*N491</f>
        <v>0</v>
      </c>
      <c r="E491" s="30" cm="1">
        <f t="array" ref="E491" xml:space="preserve"> IFERROR((($C$464*'Practice Inputs'!H38*$C$463*5*52))/_xlfn.XLOOKUP(B491,'Practice Inputs'!$A$54:$A$67,'Practice Inputs'!$I$54:$I$67/'Practice Inputs'!$J$54:$J$67,0),0)*O491</f>
        <v>0</v>
      </c>
      <c r="F491" s="38">
        <f>E491*_xlfn.XLOOKUP($B491,'Practice Inputs'!$A$54:$A$67,'Practice Inputs'!$K$54:$K$67,0)</f>
        <v>0</v>
      </c>
      <c r="G491" s="38"/>
      <c r="H491" s="38">
        <f t="shared" si="119"/>
        <v>0</v>
      </c>
      <c r="I491" s="38">
        <f>D491*_xlfn.XLOOKUP(B491,'Practice Inputs'!$A$28:$A$47,'Practice Inputs'!$J$28:$J$47,0)</f>
        <v>0</v>
      </c>
      <c r="J491" s="38">
        <v>0</v>
      </c>
      <c r="K491" s="38"/>
      <c r="L491" s="38">
        <f t="shared" si="120"/>
        <v>0</v>
      </c>
      <c r="M491" s="38">
        <f t="shared" si="121"/>
        <v>0</v>
      </c>
      <c r="N491">
        <f t="shared" si="122"/>
        <v>0</v>
      </c>
      <c r="O491">
        <f t="shared" si="123"/>
        <v>-1</v>
      </c>
      <c r="P491">
        <f t="shared" si="124"/>
        <v>0</v>
      </c>
    </row>
    <row r="492" spans="1:16" hidden="1" outlineLevel="1">
      <c r="B492" t="str">
        <f>'Practice Inputs'!A39</f>
        <v>Social Worker</v>
      </c>
      <c r="C492" t="s">
        <v>414</v>
      </c>
      <c r="D492" s="177">
        <f>($C$464*'Practice Inputs'!H39*$C$463*52)*N492</f>
        <v>0</v>
      </c>
      <c r="E492" s="30" cm="1">
        <f t="array" ref="E492" xml:space="preserve"> IFERROR((($C$464*'Practice Inputs'!H39*$C$463*5*52))/_xlfn.XLOOKUP(B492,'Practice Inputs'!$A$54:$A$67,'Practice Inputs'!$I$54:$I$67/'Practice Inputs'!$J$54:$J$67,0),0)*O492</f>
        <v>0</v>
      </c>
      <c r="F492" s="38">
        <f>E492*_xlfn.XLOOKUP($B492,'Practice Inputs'!$A$54:$A$67,'Practice Inputs'!$K$54:$K$67,0)</f>
        <v>0</v>
      </c>
      <c r="G492" s="38"/>
      <c r="H492" s="38">
        <f t="shared" si="119"/>
        <v>0</v>
      </c>
      <c r="I492" s="38">
        <f>D492*_xlfn.XLOOKUP(B492,'Practice Inputs'!$A$28:$A$47,'Practice Inputs'!$J$28:$J$47,0)</f>
        <v>0</v>
      </c>
      <c r="J492" s="38">
        <v>0</v>
      </c>
      <c r="K492" s="38"/>
      <c r="L492" s="38">
        <f t="shared" si="120"/>
        <v>0</v>
      </c>
      <c r="M492" s="38">
        <f t="shared" si="121"/>
        <v>0</v>
      </c>
      <c r="N492">
        <f t="shared" si="122"/>
        <v>0</v>
      </c>
      <c r="O492">
        <f t="shared" si="123"/>
        <v>-1</v>
      </c>
      <c r="P492">
        <f t="shared" si="124"/>
        <v>0</v>
      </c>
    </row>
    <row r="493" spans="1:16" hidden="1" outlineLevel="1">
      <c r="B493" t="str">
        <f>'Practice Inputs'!A40</f>
        <v>Health Improvement Practitioner (HIP)</v>
      </c>
      <c r="C493" t="s">
        <v>414</v>
      </c>
      <c r="D493" s="177">
        <f>($C$464*'Practice Inputs'!H40*$C$463*52)*N493</f>
        <v>0</v>
      </c>
      <c r="E493" s="30" cm="1">
        <f t="array" ref="E493" xml:space="preserve"> IFERROR((($C$464*'Practice Inputs'!H40*$C$463*5*52))/_xlfn.XLOOKUP(B493,'Practice Inputs'!$A$54:$A$67,'Practice Inputs'!$I$54:$I$67/'Practice Inputs'!$J$54:$J$67,0),0)*O493</f>
        <v>0</v>
      </c>
      <c r="F493" s="38">
        <f>E493*_xlfn.XLOOKUP($B493,'Practice Inputs'!$A$54:$A$67,'Practice Inputs'!$K$54:$K$67,0)</f>
        <v>0</v>
      </c>
      <c r="G493" s="38"/>
      <c r="H493" s="38">
        <f t="shared" si="119"/>
        <v>0</v>
      </c>
      <c r="I493" s="38">
        <f>D493*_xlfn.XLOOKUP(B493,'Practice Inputs'!$A$28:$A$47,'Practice Inputs'!$J$28:$J$47,0)</f>
        <v>0</v>
      </c>
      <c r="J493" s="38">
        <v>0</v>
      </c>
      <c r="K493" s="38"/>
      <c r="L493" s="38">
        <f t="shared" si="120"/>
        <v>0</v>
      </c>
      <c r="M493" s="38">
        <f t="shared" si="121"/>
        <v>0</v>
      </c>
      <c r="N493">
        <f t="shared" si="122"/>
        <v>0</v>
      </c>
      <c r="O493">
        <f t="shared" si="123"/>
        <v>-1</v>
      </c>
      <c r="P493">
        <f t="shared" si="124"/>
        <v>0</v>
      </c>
    </row>
    <row r="494" spans="1:16" hidden="1" outlineLevel="1">
      <c r="B494" t="str">
        <f>'Practice Inputs'!A41</f>
        <v>Health Coach</v>
      </c>
      <c r="C494" t="s">
        <v>414</v>
      </c>
      <c r="D494" s="177">
        <f>($C$464*'Practice Inputs'!H41*$C$463*52)*N494</f>
        <v>0</v>
      </c>
      <c r="E494" s="30" cm="1">
        <f t="array" ref="E494" xml:space="preserve"> IFERROR((($C$464*'Practice Inputs'!H41*$C$463*5*52))/_xlfn.XLOOKUP(B494,'Practice Inputs'!$A$54:$A$67,'Practice Inputs'!$I$54:$I$67/'Practice Inputs'!$J$54:$J$67,0),0)*O494</f>
        <v>0</v>
      </c>
      <c r="F494" s="38">
        <f>E494*_xlfn.XLOOKUP($B494,'Practice Inputs'!$A$54:$A$67,'Practice Inputs'!$K$54:$K$67,0)</f>
        <v>0</v>
      </c>
      <c r="G494" s="38"/>
      <c r="H494" s="38">
        <f t="shared" si="119"/>
        <v>0</v>
      </c>
      <c r="I494" s="38">
        <f>D494*_xlfn.XLOOKUP(B494,'Practice Inputs'!$A$28:$A$47,'Practice Inputs'!$J$28:$J$47,0)</f>
        <v>0</v>
      </c>
      <c r="J494" s="38">
        <v>0</v>
      </c>
      <c r="K494" s="38"/>
      <c r="L494" s="38">
        <f t="shared" si="120"/>
        <v>0</v>
      </c>
      <c r="M494" s="38">
        <f t="shared" si="121"/>
        <v>0</v>
      </c>
      <c r="N494">
        <f t="shared" si="122"/>
        <v>0</v>
      </c>
      <c r="O494">
        <f t="shared" si="123"/>
        <v>-1</v>
      </c>
      <c r="P494">
        <f t="shared" si="124"/>
        <v>0</v>
      </c>
    </row>
    <row r="495" spans="1:16" hidden="1" outlineLevel="1">
      <c r="B495" t="str">
        <f>'Practice Inputs'!A42</f>
        <v>Kaiāwhina / Community health worker</v>
      </c>
      <c r="C495" t="s">
        <v>414</v>
      </c>
      <c r="D495" s="177">
        <f>($C$464*'Practice Inputs'!H42*$C$463*52)*N495</f>
        <v>0</v>
      </c>
      <c r="E495" s="30" cm="1">
        <f t="array" ref="E495" xml:space="preserve"> IFERROR((($C$464*'Practice Inputs'!H42*$C$463*5*52))/_xlfn.XLOOKUP(B495,'Practice Inputs'!$A$54:$A$67,'Practice Inputs'!$I$54:$I$67/'Practice Inputs'!$J$54:$J$67,0),0)*O495</f>
        <v>0</v>
      </c>
      <c r="F495" s="38">
        <f>E495*_xlfn.XLOOKUP($B495,'Practice Inputs'!$A$54:$A$67,'Practice Inputs'!$K$54:$K$67,0)</f>
        <v>0</v>
      </c>
      <c r="G495" s="38"/>
      <c r="H495" s="38">
        <f t="shared" si="119"/>
        <v>0</v>
      </c>
      <c r="I495" s="38">
        <f>D495*_xlfn.XLOOKUP(B495,'Practice Inputs'!$A$28:$A$47,'Practice Inputs'!$J$28:$J$47,0)</f>
        <v>0</v>
      </c>
      <c r="J495" s="38">
        <v>0</v>
      </c>
      <c r="K495" s="38"/>
      <c r="L495" s="38">
        <f t="shared" si="120"/>
        <v>0</v>
      </c>
      <c r="M495" s="38">
        <f t="shared" si="121"/>
        <v>0</v>
      </c>
      <c r="N495">
        <f t="shared" si="122"/>
        <v>0</v>
      </c>
      <c r="O495">
        <f t="shared" si="123"/>
        <v>-1</v>
      </c>
      <c r="P495">
        <f t="shared" si="124"/>
        <v>0</v>
      </c>
    </row>
    <row r="496" spans="1:16" hidden="1" outlineLevel="1">
      <c r="B496" t="str">
        <f>'Practice Inputs'!A43</f>
        <v>Care coordinator</v>
      </c>
      <c r="C496" t="s">
        <v>414</v>
      </c>
      <c r="D496" s="177">
        <f>($C$464*'Practice Inputs'!H43*$C$463*52)*N496</f>
        <v>0</v>
      </c>
      <c r="E496" s="30" cm="1">
        <f t="array" ref="E496" xml:space="preserve"> IFERROR((($C$464*'Practice Inputs'!H43*$C$463*5*52))/_xlfn.XLOOKUP(B496,'Practice Inputs'!$A$54:$A$67,'Practice Inputs'!$I$54:$I$67/'Practice Inputs'!$J$54:$J$67,0),0)*O496</f>
        <v>0</v>
      </c>
      <c r="F496" s="38">
        <f>E496*_xlfn.XLOOKUP($B496,'Practice Inputs'!$A$54:$A$67,'Practice Inputs'!$K$54:$K$67,0)</f>
        <v>0</v>
      </c>
      <c r="G496" s="38"/>
      <c r="H496" s="38">
        <f t="shared" si="119"/>
        <v>0</v>
      </c>
      <c r="I496" s="38">
        <f>D496*_xlfn.XLOOKUP(B496,'Practice Inputs'!$A$28:$A$47,'Practice Inputs'!$J$28:$J$47,0)</f>
        <v>0</v>
      </c>
      <c r="J496" s="38">
        <v>0</v>
      </c>
      <c r="K496" s="38"/>
      <c r="L496" s="38">
        <f t="shared" si="120"/>
        <v>0</v>
      </c>
      <c r="M496" s="38">
        <f t="shared" si="121"/>
        <v>0</v>
      </c>
      <c r="N496">
        <f t="shared" si="122"/>
        <v>0</v>
      </c>
      <c r="O496">
        <f t="shared" si="123"/>
        <v>-1</v>
      </c>
      <c r="P496">
        <f t="shared" si="124"/>
        <v>0</v>
      </c>
    </row>
    <row r="497" spans="1:19" hidden="1" outlineLevel="1">
      <c r="B497" t="str">
        <f>'Practice Inputs'!A44</f>
        <v>new role</v>
      </c>
      <c r="C497" t="s">
        <v>414</v>
      </c>
      <c r="D497" s="177">
        <f>($C$464*'Practice Inputs'!H44*$C$463*52)*N497</f>
        <v>0</v>
      </c>
      <c r="E497" s="30" cm="1">
        <f t="array" ref="E497" xml:space="preserve"> IFERROR((($C$464*'Practice Inputs'!H44*$C$463*5*52))/_xlfn.XLOOKUP(B497,'Practice Inputs'!$A$54:$A$67,'Practice Inputs'!$I$54:$I$67/'Practice Inputs'!$J$54:$J$67,0),0)*O497</f>
        <v>0</v>
      </c>
      <c r="F497" s="38">
        <f>E497*_xlfn.XLOOKUP($B497,'Practice Inputs'!$A$54:$A$67,'Practice Inputs'!$K$54:$K$67,0)</f>
        <v>0</v>
      </c>
      <c r="G497" s="38"/>
      <c r="H497" s="38">
        <f t="shared" si="119"/>
        <v>0</v>
      </c>
      <c r="I497" s="38">
        <f>D497*_xlfn.XLOOKUP(B497,'Practice Inputs'!$A$28:$A$47,'Practice Inputs'!$J$28:$J$47,0)</f>
        <v>0</v>
      </c>
      <c r="J497" s="38">
        <v>0</v>
      </c>
      <c r="K497" s="38"/>
      <c r="L497" s="38">
        <f t="shared" si="120"/>
        <v>0</v>
      </c>
      <c r="M497" s="38">
        <f t="shared" si="121"/>
        <v>0</v>
      </c>
      <c r="N497">
        <f t="shared" si="122"/>
        <v>0</v>
      </c>
      <c r="O497">
        <f t="shared" si="123"/>
        <v>-1</v>
      </c>
      <c r="P497">
        <f t="shared" si="124"/>
        <v>0</v>
      </c>
    </row>
    <row r="498" spans="1:19" hidden="1" outlineLevel="1">
      <c r="B498">
        <f>'Practice Inputs'!A45</f>
        <v>0</v>
      </c>
      <c r="C498" t="s">
        <v>414</v>
      </c>
      <c r="D498" s="177">
        <f>($C$464*'Practice Inputs'!H45*$C$463*52)*N498</f>
        <v>0</v>
      </c>
      <c r="E498" s="30" cm="1">
        <f t="array" ref="E498" xml:space="preserve"> IFERROR((($C$464*'Practice Inputs'!H45*$C$463*5*52))/_xlfn.XLOOKUP(B498,'Practice Inputs'!$A$54:$A$67,'Practice Inputs'!$I$54:$I$67/'Practice Inputs'!$J$54:$J$67,0),0)*O498</f>
        <v>0</v>
      </c>
      <c r="F498" s="38">
        <f>E498*_xlfn.XLOOKUP($B498,'Practice Inputs'!$A$54:$A$67,'Practice Inputs'!$K$54:$K$67,0)</f>
        <v>0</v>
      </c>
      <c r="G498" s="38"/>
      <c r="H498" s="38">
        <f t="shared" si="119"/>
        <v>0</v>
      </c>
      <c r="I498" s="38">
        <f>D498*_xlfn.XLOOKUP(B498,'Practice Inputs'!$A$28:$A$47,'Practice Inputs'!$J$28:$J$47,0)</f>
        <v>0</v>
      </c>
      <c r="J498" s="38">
        <v>0</v>
      </c>
      <c r="K498" s="38"/>
      <c r="L498" s="38">
        <f t="shared" si="120"/>
        <v>0</v>
      </c>
      <c r="M498" s="38">
        <f t="shared" si="121"/>
        <v>0</v>
      </c>
      <c r="N498">
        <f t="shared" si="122"/>
        <v>0</v>
      </c>
      <c r="O498">
        <f t="shared" si="123"/>
        <v>-1</v>
      </c>
      <c r="P498">
        <f t="shared" si="124"/>
        <v>0</v>
      </c>
    </row>
    <row r="499" spans="1:19" hidden="1" outlineLevel="1">
      <c r="B499">
        <f>'Practice Inputs'!A46</f>
        <v>0</v>
      </c>
      <c r="C499" t="s">
        <v>414</v>
      </c>
      <c r="D499" s="177">
        <f>($C$464*'Practice Inputs'!H46*$C$463*52)*N499</f>
        <v>0</v>
      </c>
      <c r="E499" s="30" cm="1">
        <f t="array" ref="E499" xml:space="preserve"> IFERROR((($C$464*'Practice Inputs'!H46*$C$463*5*52))/_xlfn.XLOOKUP(B499,'Practice Inputs'!$A$54:$A$67,'Practice Inputs'!$I$54:$I$67/'Practice Inputs'!$J$54:$J$67,0),0)*O499</f>
        <v>0</v>
      </c>
      <c r="F499" s="38">
        <f>E499*_xlfn.XLOOKUP($B499,'Practice Inputs'!$A$54:$A$67,'Practice Inputs'!$K$54:$K$67,0)</f>
        <v>0</v>
      </c>
      <c r="G499" s="38"/>
      <c r="H499" s="38">
        <f t="shared" si="119"/>
        <v>0</v>
      </c>
      <c r="I499" s="38">
        <f>D499*_xlfn.XLOOKUP(B499,'Practice Inputs'!$A$28:$A$47,'Practice Inputs'!$J$28:$J$47,0)</f>
        <v>0</v>
      </c>
      <c r="J499" s="38">
        <v>0</v>
      </c>
      <c r="K499" s="38"/>
      <c r="L499" s="38">
        <f t="shared" si="120"/>
        <v>0</v>
      </c>
      <c r="M499" s="38">
        <f t="shared" si="121"/>
        <v>0</v>
      </c>
      <c r="N499">
        <f t="shared" si="122"/>
        <v>0</v>
      </c>
      <c r="O499">
        <f t="shared" si="123"/>
        <v>-1</v>
      </c>
      <c r="P499">
        <f t="shared" si="124"/>
        <v>0</v>
      </c>
    </row>
    <row r="500" spans="1:19" hidden="1" outlineLevel="1">
      <c r="B500">
        <f>'Practice Inputs'!A47</f>
        <v>0</v>
      </c>
      <c r="C500" t="s">
        <v>414</v>
      </c>
      <c r="D500" s="177">
        <f>($C$464*'Practice Inputs'!H47*$C$463*52)*N500</f>
        <v>0</v>
      </c>
      <c r="E500" s="30" cm="1">
        <f t="array" ref="E500" xml:space="preserve"> IFERROR((($C$464*'Practice Inputs'!H47*$C$463*5*52))/_xlfn.XLOOKUP(B500,'Practice Inputs'!$A$54:$A$67,'Practice Inputs'!$I$54:$I$67/'Practice Inputs'!$J$54:$J$67,0),0)*O500</f>
        <v>0</v>
      </c>
      <c r="F500" s="38">
        <f>E500*_xlfn.XLOOKUP($B500,'Practice Inputs'!$A$54:$A$67,'Practice Inputs'!$K$54:$K$67,0)</f>
        <v>0</v>
      </c>
      <c r="G500" s="38"/>
      <c r="H500" s="38">
        <f t="shared" si="119"/>
        <v>0</v>
      </c>
      <c r="I500" s="38">
        <f>D500*_xlfn.XLOOKUP(B500,'Practice Inputs'!$A$28:$A$47,'Practice Inputs'!$J$28:$J$47,0)</f>
        <v>0</v>
      </c>
      <c r="J500" s="38">
        <v>0</v>
      </c>
      <c r="K500" s="38"/>
      <c r="L500" s="38">
        <f t="shared" si="120"/>
        <v>0</v>
      </c>
      <c r="M500" s="38">
        <f t="shared" si="121"/>
        <v>0</v>
      </c>
      <c r="N500">
        <f t="shared" si="122"/>
        <v>0</v>
      </c>
      <c r="O500">
        <f t="shared" si="123"/>
        <v>-1</v>
      </c>
      <c r="P500">
        <f t="shared" si="124"/>
        <v>0</v>
      </c>
    </row>
    <row r="501" spans="1:19" hidden="1" outlineLevel="1">
      <c r="D501" s="177"/>
      <c r="E501" s="30"/>
      <c r="F501" s="38"/>
      <c r="G501" s="38"/>
      <c r="H501" s="38"/>
      <c r="I501" s="38"/>
      <c r="J501" s="38"/>
      <c r="K501" s="38"/>
      <c r="L501" s="38"/>
      <c r="M501" s="38"/>
    </row>
    <row r="502" spans="1:19" hidden="1" outlineLevel="1">
      <c r="A502" s="16" t="s">
        <v>501</v>
      </c>
      <c r="D502" s="177"/>
      <c r="E502" s="30">
        <f>F460*52</f>
        <v>0</v>
      </c>
      <c r="F502" s="38">
        <f>E502*_xlfn.XLOOKUP($B502,'Practice Inputs'!$A$54:$A$67,'Practice Inputs'!$K$54:$K$67,0)</f>
        <v>0</v>
      </c>
      <c r="G502" s="38"/>
      <c r="H502" s="38">
        <f>SUM(F502:G502)</f>
        <v>0</v>
      </c>
      <c r="I502" s="38">
        <f>D502*_xlfn.XLOOKUP(B502,'Practice Inputs'!$A$28:$A$47,'Practice Inputs'!$J$28:$J$47,0)</f>
        <v>0</v>
      </c>
      <c r="J502" s="38"/>
      <c r="K502" s="38">
        <f>SUM(D474:D476)</f>
        <v>0</v>
      </c>
      <c r="L502" s="38">
        <f>SUM(I502:K502)</f>
        <v>0</v>
      </c>
      <c r="M502" s="38">
        <f t="shared" ref="M502" si="125">H502-L502</f>
        <v>0</v>
      </c>
    </row>
    <row r="503" spans="1:19" hidden="1" outlineLevel="1">
      <c r="B503" s="57" t="s">
        <v>92</v>
      </c>
      <c r="D503" s="58">
        <f t="shared" ref="D503:M503" si="126">SUM(D481:D502)</f>
        <v>0</v>
      </c>
      <c r="E503" s="58">
        <f t="shared" si="126"/>
        <v>-556.38586956521749</v>
      </c>
      <c r="F503" s="59">
        <f t="shared" si="126"/>
        <v>-16727.59946092471</v>
      </c>
      <c r="G503" s="59">
        <f t="shared" si="126"/>
        <v>0</v>
      </c>
      <c r="H503" s="59">
        <f t="shared" si="126"/>
        <v>-16727.59946092471</v>
      </c>
      <c r="I503" s="59">
        <f t="shared" si="126"/>
        <v>0</v>
      </c>
      <c r="J503" s="59">
        <f t="shared" si="126"/>
        <v>0</v>
      </c>
      <c r="K503" s="59">
        <f t="shared" si="126"/>
        <v>0</v>
      </c>
      <c r="L503" s="59">
        <f t="shared" si="126"/>
        <v>0</v>
      </c>
      <c r="M503" s="59">
        <f t="shared" si="126"/>
        <v>-16727.59946092471</v>
      </c>
      <c r="P503" s="59"/>
      <c r="Q503" s="59"/>
      <c r="R503" s="59"/>
      <c r="S503" s="59"/>
    </row>
    <row r="504" spans="1:19" collapsed="1"/>
    <row r="505" spans="1:19" ht="18.899999999999999" thickBot="1">
      <c r="A505" s="128" t="s">
        <v>520</v>
      </c>
      <c r="B505" s="119"/>
      <c r="C505" s="119"/>
      <c r="D505" s="119"/>
      <c r="E505" s="119"/>
      <c r="F505" s="119"/>
      <c r="G505" s="119"/>
      <c r="H505" s="119"/>
      <c r="I505" s="119"/>
      <c r="J505" s="119"/>
      <c r="K505" s="119"/>
      <c r="L505" s="119"/>
      <c r="M505" s="119"/>
      <c r="N505" s="119"/>
      <c r="O505" s="119"/>
      <c r="P505" s="119"/>
      <c r="Q505" s="119"/>
      <c r="R505" s="119"/>
      <c r="S505" s="119"/>
    </row>
    <row r="506" spans="1:19" ht="15.9">
      <c r="B506" s="18"/>
      <c r="C506" s="18"/>
      <c r="D506" s="18"/>
      <c r="E506" s="2"/>
      <c r="F506" s="50"/>
    </row>
    <row r="507" spans="1:19" ht="18.45">
      <c r="A507" s="182" t="s">
        <v>28</v>
      </c>
    </row>
    <row r="508" spans="1:19">
      <c r="B508" s="180" t="s">
        <v>264</v>
      </c>
      <c r="C508" s="115" t="s">
        <v>73</v>
      </c>
      <c r="D508" s="180" t="s">
        <v>266</v>
      </c>
    </row>
    <row r="509" spans="1:19">
      <c r="A509" s="16" t="s">
        <v>177</v>
      </c>
      <c r="B509">
        <f>'Business efficiency'!E44</f>
        <v>0</v>
      </c>
      <c r="C509" s="148" t="s">
        <v>178</v>
      </c>
      <c r="D509">
        <f>B509</f>
        <v>0</v>
      </c>
    </row>
    <row r="510" spans="1:19">
      <c r="A510" s="16" t="s">
        <v>179</v>
      </c>
      <c r="B510">
        <f>'Business efficiency'!E45</f>
        <v>0</v>
      </c>
      <c r="C510" s="148" t="s">
        <v>178</v>
      </c>
      <c r="D510">
        <f>B510</f>
        <v>0</v>
      </c>
    </row>
    <row r="511" spans="1:19">
      <c r="A511" t="s">
        <v>521</v>
      </c>
      <c r="B511" s="41"/>
      <c r="C511" s="149" t="e">
        <f>'Practice Inputs'!D150/D509</f>
        <v>#DIV/0!</v>
      </c>
      <c r="D511" s="70" t="e">
        <f>IF(B511="",C511,B511)</f>
        <v>#DIV/0!</v>
      </c>
    </row>
    <row r="512" spans="1:19">
      <c r="A512" s="16"/>
      <c r="C512" s="44"/>
    </row>
    <row r="513" spans="1:26">
      <c r="A513" s="39" t="s">
        <v>385</v>
      </c>
      <c r="B513" s="180" t="s">
        <v>264</v>
      </c>
      <c r="C513" s="115" t="s">
        <v>73</v>
      </c>
      <c r="D513" s="180" t="s">
        <v>266</v>
      </c>
      <c r="E513" s="180"/>
    </row>
    <row r="514" spans="1:26">
      <c r="A514" s="103"/>
      <c r="B514" s="41"/>
      <c r="C514" s="149">
        <v>0</v>
      </c>
      <c r="D514" s="70">
        <f>IF(B514="",C514,B514)</f>
        <v>0</v>
      </c>
    </row>
    <row r="515" spans="1:26">
      <c r="A515" s="103"/>
      <c r="B515" s="41"/>
      <c r="C515" s="149">
        <v>0</v>
      </c>
      <c r="D515" s="70">
        <f>IF(B515="",C515,B515)</f>
        <v>0</v>
      </c>
    </row>
    <row r="516" spans="1:26">
      <c r="A516" s="103"/>
      <c r="B516" s="41"/>
      <c r="C516" s="149">
        <v>0</v>
      </c>
      <c r="D516" s="70">
        <f>IF(B516="",C516,B516)</f>
        <v>0</v>
      </c>
    </row>
    <row r="518" spans="1:26">
      <c r="A518" s="39" t="s">
        <v>386</v>
      </c>
      <c r="B518" s="180"/>
      <c r="C518" s="115"/>
      <c r="D518" s="180"/>
      <c r="E518" s="180"/>
    </row>
    <row r="519" spans="1:26">
      <c r="A519" s="186"/>
      <c r="B519" s="185"/>
      <c r="C519" s="149">
        <v>0</v>
      </c>
      <c r="D519" s="70">
        <f>IF(B519="",C519,B519)</f>
        <v>0</v>
      </c>
    </row>
    <row r="520" spans="1:26">
      <c r="A520" s="187"/>
      <c r="B520" s="185"/>
      <c r="C520" s="149">
        <v>0</v>
      </c>
      <c r="D520" s="70">
        <f>IF(B520="",C520,B520)</f>
        <v>0</v>
      </c>
    </row>
    <row r="521" spans="1:26">
      <c r="A521" s="187"/>
      <c r="B521" s="185"/>
      <c r="C521" s="149">
        <v>0</v>
      </c>
      <c r="D521" s="70">
        <f>IF(B521="",C521,B521)</f>
        <v>0</v>
      </c>
    </row>
    <row r="522" spans="1:26">
      <c r="A522" s="16"/>
      <c r="B522" s="16"/>
      <c r="C522" s="149"/>
      <c r="D522" s="70"/>
    </row>
    <row r="523" spans="1:26" ht="18.45" hidden="1" outlineLevel="1">
      <c r="A523" s="181" t="s">
        <v>398</v>
      </c>
    </row>
    <row r="524" spans="1:26" hidden="1" outlineLevel="1">
      <c r="A524" s="57"/>
      <c r="B524" s="57"/>
      <c r="C524" s="57"/>
      <c r="D524" s="57"/>
      <c r="E524" s="57"/>
      <c r="G524" s="57" t="s">
        <v>392</v>
      </c>
      <c r="H524" s="57"/>
      <c r="I524" s="57" t="s">
        <v>56</v>
      </c>
      <c r="J524" s="57"/>
      <c r="L524" s="57" t="s">
        <v>88</v>
      </c>
      <c r="N524" s="57"/>
      <c r="Q524" s="57"/>
      <c r="S524" s="38"/>
      <c r="V524" s="38"/>
      <c r="X524" s="38"/>
      <c r="Z524" s="38"/>
    </row>
    <row r="525" spans="1:26" hidden="1" outlineLevel="1">
      <c r="A525" s="57" t="s">
        <v>401</v>
      </c>
      <c r="B525" s="57" t="s">
        <v>134</v>
      </c>
      <c r="C525" s="57"/>
      <c r="D525" s="57"/>
      <c r="E525" s="57"/>
      <c r="G525" s="57" t="s">
        <v>403</v>
      </c>
      <c r="H525" s="57" t="s">
        <v>51</v>
      </c>
      <c r="I525" s="57" t="s">
        <v>405</v>
      </c>
      <c r="J525" s="57" t="s">
        <v>205</v>
      </c>
      <c r="K525" s="57" t="s">
        <v>406</v>
      </c>
      <c r="L525" s="57" t="s">
        <v>407</v>
      </c>
      <c r="M525" s="57" t="s">
        <v>408</v>
      </c>
      <c r="N525" s="57" t="s">
        <v>409</v>
      </c>
      <c r="O525" s="57" t="s">
        <v>206</v>
      </c>
      <c r="P525" s="57" t="s">
        <v>410</v>
      </c>
      <c r="Q525" s="57"/>
      <c r="R525" s="57"/>
      <c r="S525" s="38"/>
      <c r="V525" s="38"/>
      <c r="X525" s="38"/>
      <c r="Z525" s="38"/>
    </row>
    <row r="526" spans="1:26" hidden="1" outlineLevel="1">
      <c r="A526" s="54" t="s">
        <v>150</v>
      </c>
      <c r="G526" s="30"/>
      <c r="H526" s="30"/>
      <c r="I526" s="38"/>
      <c r="J526" s="38"/>
      <c r="K526" s="38"/>
      <c r="L526" s="38"/>
      <c r="M526" s="38">
        <f>SUM(D519:D521)</f>
        <v>0</v>
      </c>
      <c r="N526" s="19">
        <f>IF(B510&gt;0,D510*D511,0)</f>
        <v>0</v>
      </c>
      <c r="O526" s="38">
        <f>SUM(L526:N526)</f>
        <v>0</v>
      </c>
      <c r="P526" s="38">
        <f>K526-O526</f>
        <v>0</v>
      </c>
      <c r="S526" s="38"/>
      <c r="V526" s="38"/>
      <c r="X526" s="38"/>
      <c r="Z526" s="38"/>
    </row>
    <row r="527" spans="1:26" hidden="1" outlineLevel="1">
      <c r="A527" s="54"/>
      <c r="B527" s="30"/>
      <c r="C527" s="30"/>
      <c r="D527" s="30"/>
      <c r="E527" s="30"/>
      <c r="H527" s="30"/>
      <c r="I527" s="38"/>
      <c r="J527" s="38"/>
      <c r="K527" s="38"/>
      <c r="L527" s="38"/>
      <c r="O527" s="38"/>
      <c r="P527" s="38"/>
      <c r="S527" s="38"/>
      <c r="V527" s="38"/>
      <c r="X527" s="38"/>
      <c r="Z527" s="38"/>
    </row>
    <row r="528" spans="1:26" hidden="1" outlineLevel="1">
      <c r="A528" s="57"/>
      <c r="B528" s="57" t="s">
        <v>92</v>
      </c>
      <c r="C528" s="57"/>
      <c r="D528" s="57"/>
      <c r="E528" s="57"/>
      <c r="G528" s="58">
        <f t="shared" ref="G528:P528" si="127">SUM(G526:G527)</f>
        <v>0</v>
      </c>
      <c r="H528" s="58">
        <f t="shared" si="127"/>
        <v>0</v>
      </c>
      <c r="I528" s="59">
        <f t="shared" si="127"/>
        <v>0</v>
      </c>
      <c r="J528" s="59">
        <f t="shared" si="127"/>
        <v>0</v>
      </c>
      <c r="K528" s="59">
        <f t="shared" si="127"/>
        <v>0</v>
      </c>
      <c r="L528" s="59">
        <f t="shared" si="127"/>
        <v>0</v>
      </c>
      <c r="M528" s="59">
        <f t="shared" si="127"/>
        <v>0</v>
      </c>
      <c r="N528" s="59">
        <f t="shared" si="127"/>
        <v>0</v>
      </c>
      <c r="O528" s="59">
        <f t="shared" si="127"/>
        <v>0</v>
      </c>
      <c r="P528" s="59">
        <f t="shared" si="127"/>
        <v>0</v>
      </c>
      <c r="S528" s="38"/>
      <c r="V528" s="38"/>
      <c r="X528" s="38"/>
      <c r="Z528" s="38"/>
    </row>
    <row r="529" spans="1:19" ht="18.45" collapsed="1">
      <c r="A529" s="60"/>
    </row>
    <row r="530" spans="1:19" ht="18.899999999999999" thickBot="1">
      <c r="A530" s="128" t="s">
        <v>522</v>
      </c>
      <c r="B530" s="119"/>
      <c r="C530" s="119"/>
      <c r="D530" s="119"/>
      <c r="E530" s="119"/>
      <c r="F530" s="119"/>
      <c r="G530" s="119"/>
      <c r="H530" s="119"/>
      <c r="I530" s="128"/>
      <c r="J530" s="119"/>
      <c r="K530" s="119"/>
      <c r="L530" s="119"/>
      <c r="M530" s="119"/>
      <c r="N530" s="119"/>
      <c r="O530" s="119"/>
      <c r="P530" s="119"/>
      <c r="Q530" s="119"/>
      <c r="R530" s="119"/>
      <c r="S530" s="119"/>
    </row>
    <row r="531" spans="1:19" ht="18.45">
      <c r="A531" s="182"/>
      <c r="I531" s="182"/>
    </row>
    <row r="532" spans="1:19" ht="18.45">
      <c r="A532" s="183" t="s">
        <v>28</v>
      </c>
      <c r="I532" s="16"/>
    </row>
    <row r="533" spans="1:19" ht="15.9">
      <c r="A533" s="43"/>
      <c r="G533" s="61"/>
      <c r="H533" s="16"/>
    </row>
    <row r="534" spans="1:19">
      <c r="A534" s="39" t="s">
        <v>523</v>
      </c>
      <c r="B534" s="180" t="s">
        <v>264</v>
      </c>
      <c r="C534" s="115" t="s">
        <v>73</v>
      </c>
      <c r="D534" s="180" t="s">
        <v>266</v>
      </c>
      <c r="E534" s="115"/>
      <c r="G534" s="61"/>
      <c r="H534" s="16"/>
    </row>
    <row r="535" spans="1:19">
      <c r="A535" t="s">
        <v>167</v>
      </c>
      <c r="B535" s="41"/>
      <c r="C535" s="156">
        <f>_xlfn.XLOOKUP(A535,'Practice Inputs'!$A$108:$A$127,'Practice Inputs'!$I$28:$I$47,0)</f>
        <v>57150.575820000005</v>
      </c>
      <c r="D535" s="38">
        <f>IF(B535="",C535,B535)</f>
        <v>57150.575820000005</v>
      </c>
      <c r="G535" s="61"/>
      <c r="H535" s="16"/>
    </row>
    <row r="536" spans="1:19">
      <c r="A536" t="s">
        <v>168</v>
      </c>
      <c r="B536" s="41"/>
      <c r="C536" s="156">
        <f>_xlfn.XLOOKUP(A536,'Practice Inputs'!$A$108:$A$127,'Practice Inputs'!$I$28:$I$47,0)</f>
        <v>57150.575820000005</v>
      </c>
      <c r="D536" s="38">
        <f>IF(B536="",C536,B536)</f>
        <v>57150.575820000005</v>
      </c>
      <c r="G536" s="61"/>
      <c r="H536" s="16"/>
    </row>
    <row r="537" spans="1:19" ht="15.9">
      <c r="A537" s="43"/>
      <c r="G537" s="61"/>
      <c r="H537" s="16"/>
    </row>
    <row r="538" spans="1:19">
      <c r="A538" s="39" t="s">
        <v>450</v>
      </c>
      <c r="N538" s="16"/>
      <c r="O538" s="64"/>
    </row>
    <row r="539" spans="1:19">
      <c r="A539" t="s">
        <v>451</v>
      </c>
      <c r="N539" s="16"/>
      <c r="O539" s="64"/>
    </row>
    <row r="540" spans="1:19">
      <c r="A540" s="45" t="s">
        <v>524</v>
      </c>
      <c r="N540" s="16"/>
      <c r="O540" s="64"/>
    </row>
    <row r="541" spans="1:19">
      <c r="C541" s="180" t="s">
        <v>525</v>
      </c>
      <c r="N541" s="16"/>
      <c r="O541" s="64"/>
    </row>
    <row r="542" spans="1:19" s="51" customFormat="1" ht="29.15">
      <c r="A542" s="51" t="s">
        <v>454</v>
      </c>
      <c r="B542" s="51" t="s">
        <v>87</v>
      </c>
      <c r="C542" s="214" t="s">
        <v>136</v>
      </c>
      <c r="D542" s="214" t="s">
        <v>284</v>
      </c>
      <c r="E542" s="214" t="s">
        <v>90</v>
      </c>
      <c r="F542" s="214"/>
      <c r="G542" s="214"/>
      <c r="H542" s="214"/>
      <c r="I542" s="51" t="s">
        <v>92</v>
      </c>
      <c r="J542" s="217"/>
      <c r="K542" s="292"/>
      <c r="L542" s="217"/>
      <c r="M542" s="217"/>
      <c r="N542" s="217"/>
      <c r="O542" s="217"/>
    </row>
    <row r="543" spans="1:19" s="279" customFormat="1">
      <c r="A543" s="279" t="s">
        <v>526</v>
      </c>
      <c r="B543" s="280">
        <v>1</v>
      </c>
      <c r="C543" s="289">
        <v>-0.3125</v>
      </c>
      <c r="D543" s="289">
        <v>0</v>
      </c>
      <c r="E543" s="289">
        <v>0</v>
      </c>
      <c r="F543" s="289">
        <v>0</v>
      </c>
      <c r="G543" s="289">
        <v>0</v>
      </c>
      <c r="H543" s="289">
        <v>0</v>
      </c>
      <c r="I543" s="291">
        <f>SUM(C543:H543)</f>
        <v>-0.3125</v>
      </c>
      <c r="J543" s="278"/>
      <c r="K543" s="278"/>
      <c r="L543" s="278"/>
      <c r="M543" s="278"/>
      <c r="N543" s="278"/>
      <c r="O543" s="278"/>
    </row>
    <row r="544" spans="1:19">
      <c r="A544" s="30" t="str">
        <f>'Business efficiency'!A31</f>
        <v>Clinical Assistant</v>
      </c>
      <c r="B544" s="55">
        <f>IF('Business efficiency'!D31="",0,'Business efficiency'!D31-'Business efficiency'!C31)</f>
        <v>0</v>
      </c>
      <c r="C544" s="290">
        <v>-0.4</v>
      </c>
      <c r="D544" s="290">
        <v>0</v>
      </c>
      <c r="E544" s="290">
        <v>0</v>
      </c>
      <c r="F544" s="290">
        <v>0</v>
      </c>
      <c r="G544" s="290">
        <v>0</v>
      </c>
      <c r="H544" s="290">
        <v>0</v>
      </c>
      <c r="I544" s="102">
        <f>SUM(C544:H544)</f>
        <v>-0.4</v>
      </c>
    </row>
    <row r="545" spans="1:10">
      <c r="A545" s="30" t="str">
        <f>'Business efficiency'!A32</f>
        <v>Healthcare Assistant</v>
      </c>
      <c r="B545" s="55">
        <f>IF('Business efficiency'!D32="",0,'Business efficiency'!D32-'Business efficiency'!C32)</f>
        <v>0</v>
      </c>
      <c r="C545" s="290">
        <v>0</v>
      </c>
      <c r="D545" s="290">
        <v>0</v>
      </c>
      <c r="E545" s="290">
        <v>-0.8</v>
      </c>
      <c r="F545" s="290">
        <v>0</v>
      </c>
      <c r="G545" s="290">
        <v>0</v>
      </c>
      <c r="H545" s="290">
        <v>0</v>
      </c>
      <c r="I545" s="102">
        <f>SUM(C545:H545)</f>
        <v>-0.8</v>
      </c>
    </row>
    <row r="546" spans="1:10" ht="18.45">
      <c r="A546" s="30"/>
      <c r="C546">
        <f>SUM(C544:C545)</f>
        <v>-0.4</v>
      </c>
      <c r="D546">
        <f t="shared" ref="D546:H546" si="128">SUM(D544:D545)</f>
        <v>0</v>
      </c>
      <c r="E546">
        <f t="shared" si="128"/>
        <v>-0.8</v>
      </c>
      <c r="F546">
        <f t="shared" si="128"/>
        <v>0</v>
      </c>
      <c r="G546">
        <f t="shared" si="128"/>
        <v>0</v>
      </c>
      <c r="H546">
        <f t="shared" si="128"/>
        <v>0</v>
      </c>
      <c r="I546" s="182"/>
    </row>
    <row r="547" spans="1:10" ht="18.45">
      <c r="A547" s="39" t="s">
        <v>455</v>
      </c>
      <c r="I547" s="182"/>
    </row>
    <row r="548" spans="1:10" ht="18.45">
      <c r="A548" t="s">
        <v>527</v>
      </c>
      <c r="I548" s="182"/>
    </row>
    <row r="549" spans="1:10">
      <c r="C549" s="180" t="s">
        <v>264</v>
      </c>
      <c r="I549" s="16"/>
      <c r="J549" s="64"/>
    </row>
    <row r="550" spans="1:10" s="51" customFormat="1" ht="29.15">
      <c r="A550" s="51" t="s">
        <v>454</v>
      </c>
      <c r="B550" s="51" t="s">
        <v>87</v>
      </c>
      <c r="C550" s="51" t="s">
        <v>458</v>
      </c>
      <c r="D550" t="s">
        <v>459</v>
      </c>
      <c r="G550"/>
      <c r="H550"/>
      <c r="I550" s="217"/>
      <c r="J550" s="217"/>
    </row>
    <row r="551" spans="1:10">
      <c r="A551" s="30" t="str">
        <f>A544</f>
        <v>Clinical Assistant</v>
      </c>
      <c r="B551" s="55">
        <f>B544</f>
        <v>0</v>
      </c>
      <c r="C551" s="218" t="s">
        <v>136</v>
      </c>
      <c r="D551" s="187">
        <v>0.1</v>
      </c>
    </row>
    <row r="552" spans="1:10">
      <c r="A552" s="30" t="str">
        <f>A545</f>
        <v>Healthcare Assistant</v>
      </c>
      <c r="B552" s="55">
        <f>B545</f>
        <v>0</v>
      </c>
      <c r="C552" s="218" t="s">
        <v>90</v>
      </c>
      <c r="D552" s="187">
        <v>0.1</v>
      </c>
    </row>
    <row r="553" spans="1:10">
      <c r="A553" s="30"/>
    </row>
    <row r="555" spans="1:10">
      <c r="A555" s="39" t="s">
        <v>385</v>
      </c>
      <c r="B555" s="180" t="s">
        <v>264</v>
      </c>
      <c r="C555" s="115" t="s">
        <v>73</v>
      </c>
      <c r="D555" s="180" t="s">
        <v>266</v>
      </c>
      <c r="E555" s="180"/>
    </row>
    <row r="556" spans="1:10">
      <c r="A556" s="103"/>
      <c r="B556" s="41"/>
      <c r="C556" s="149">
        <v>0</v>
      </c>
      <c r="D556" s="70">
        <f>IF(B556="",C556,B556)</f>
        <v>0</v>
      </c>
    </row>
    <row r="557" spans="1:10">
      <c r="A557" s="103"/>
      <c r="B557" s="41"/>
      <c r="C557" s="149">
        <v>0</v>
      </c>
      <c r="D557" s="70">
        <f>IF(B557="",C557,B557)</f>
        <v>0</v>
      </c>
    </row>
    <row r="558" spans="1:10">
      <c r="A558" s="103"/>
      <c r="B558" s="41"/>
      <c r="C558" s="149">
        <v>0</v>
      </c>
      <c r="D558" s="70">
        <f>IF(B558="",C558,B558)</f>
        <v>0</v>
      </c>
    </row>
    <row r="560" spans="1:10">
      <c r="A560" s="39" t="s">
        <v>386</v>
      </c>
      <c r="B560" s="180"/>
      <c r="C560" s="115"/>
      <c r="D560" s="180"/>
      <c r="E560" s="180"/>
    </row>
    <row r="561" spans="1:28">
      <c r="A561" s="186"/>
      <c r="B561" s="185"/>
      <c r="C561" s="149">
        <v>0</v>
      </c>
      <c r="D561" s="70">
        <f>IF(B561="",C561,B561)</f>
        <v>0</v>
      </c>
    </row>
    <row r="562" spans="1:28">
      <c r="A562" s="187"/>
      <c r="B562" s="185"/>
      <c r="C562" s="149">
        <v>0</v>
      </c>
      <c r="D562" s="70">
        <f>IF(B562="",C562,B562)</f>
        <v>0</v>
      </c>
    </row>
    <row r="563" spans="1:28">
      <c r="A563" s="187"/>
      <c r="B563" s="185"/>
      <c r="C563" s="149">
        <v>0</v>
      </c>
      <c r="D563" s="70">
        <f>IF(B563="",C563,B563)</f>
        <v>0</v>
      </c>
    </row>
    <row r="564" spans="1:28">
      <c r="A564" s="16"/>
      <c r="B564" s="72"/>
      <c r="C564" s="152"/>
      <c r="D564" s="153"/>
      <c r="E564" s="31"/>
      <c r="N564" t="s">
        <v>396</v>
      </c>
      <c r="X564" s="38"/>
      <c r="Z564" s="38"/>
      <c r="AB564" s="38"/>
    </row>
    <row r="565" spans="1:28">
      <c r="A565" s="16"/>
      <c r="B565" s="16"/>
      <c r="C565" s="152"/>
      <c r="D565" s="153"/>
      <c r="E565" s="31"/>
      <c r="N565" t="s">
        <v>397</v>
      </c>
      <c r="X565" s="38"/>
      <c r="Z565" s="38"/>
      <c r="AB565" s="38"/>
    </row>
    <row r="566" spans="1:28" ht="18.45" hidden="1" outlineLevel="1">
      <c r="A566" s="181" t="s">
        <v>398</v>
      </c>
      <c r="N566" t="s">
        <v>399</v>
      </c>
    </row>
    <row r="567" spans="1:28" hidden="1" outlineLevel="1">
      <c r="A567" s="57"/>
      <c r="D567" s="57" t="s">
        <v>392</v>
      </c>
      <c r="E567" s="57"/>
      <c r="F567" s="57" t="s">
        <v>56</v>
      </c>
      <c r="G567" s="57"/>
      <c r="I567" s="57" t="s">
        <v>88</v>
      </c>
      <c r="N567" s="57" t="s">
        <v>400</v>
      </c>
    </row>
    <row r="568" spans="1:28" hidden="1" outlineLevel="1">
      <c r="A568" s="57" t="s">
        <v>401</v>
      </c>
      <c r="B568" s="57" t="s">
        <v>134</v>
      </c>
      <c r="C568" s="57" t="s">
        <v>402</v>
      </c>
      <c r="D568" s="57" t="s">
        <v>403</v>
      </c>
      <c r="E568" s="57" t="s">
        <v>51</v>
      </c>
      <c r="F568" s="57" t="s">
        <v>405</v>
      </c>
      <c r="G568" s="57" t="s">
        <v>205</v>
      </c>
      <c r="H568" s="57" t="s">
        <v>406</v>
      </c>
      <c r="I568" s="57" t="s">
        <v>407</v>
      </c>
      <c r="J568" s="57" t="s">
        <v>408</v>
      </c>
      <c r="K568" s="57" t="s">
        <v>409</v>
      </c>
      <c r="L568" s="57" t="s">
        <v>206</v>
      </c>
      <c r="M568" s="57" t="s">
        <v>410</v>
      </c>
      <c r="N568" s="57" t="s">
        <v>411</v>
      </c>
      <c r="O568" s="57" t="s">
        <v>51</v>
      </c>
      <c r="P568" s="57" t="s">
        <v>412</v>
      </c>
    </row>
    <row r="569" spans="1:28" hidden="1" outlineLevel="1">
      <c r="A569" t="s">
        <v>461</v>
      </c>
      <c r="B569" t="str">
        <f>A535</f>
        <v>Clinical Assistant</v>
      </c>
      <c r="C569" t="s">
        <v>440</v>
      </c>
      <c r="D569">
        <f>(B544*_xlfn.XLOOKUP(B569,'Practice Inputs'!$A$28:$A$47,'Practice Inputs'!$L$28:$L$47,1920)*60)*N569</f>
        <v>0</v>
      </c>
      <c r="E569" s="38"/>
      <c r="F569" s="38">
        <f>E569*M527</f>
        <v>0</v>
      </c>
      <c r="G569" s="38">
        <f>K527</f>
        <v>0</v>
      </c>
      <c r="H569" s="38">
        <f t="shared" ref="H569:H576" si="129">SUM(F569:G569)</f>
        <v>0</v>
      </c>
      <c r="I569" s="38">
        <f>D569*_xlfn.XLOOKUP($B569,$A$535:$A$536,$D$535:$D$536,0)/(_xlfn.XLOOKUP(B569,'Practice Inputs'!$A$28:$A$47,'Practice Inputs'!$L$28:$L$47)*60)</f>
        <v>0</v>
      </c>
      <c r="J569" s="38">
        <f>E569*'Practice Inputs'!$E$162*_xlfn.XLOOKUP(B569,'Practice Inputs'!$A$54:$A$67,'Practice Inputs'!$I$54:$I$67,0)*P569</f>
        <v>0</v>
      </c>
      <c r="K569">
        <v>0</v>
      </c>
      <c r="L569" s="38">
        <f>SUM(I569:K569)</f>
        <v>0</v>
      </c>
      <c r="M569" s="38">
        <f>H569-L569</f>
        <v>0</v>
      </c>
      <c r="N569">
        <f t="shared" ref="N569:N576" si="130">IF(C569="Repurpose",0,1)</f>
        <v>1</v>
      </c>
      <c r="O569">
        <f t="shared" ref="O569:O576" si="131">IF(C569="Repurpose",-1,IF(C569="Add",1,0))</f>
        <v>1</v>
      </c>
      <c r="P569">
        <f>IF(C569="Add",1,0)</f>
        <v>1</v>
      </c>
    </row>
    <row r="570" spans="1:28" hidden="1" outlineLevel="1">
      <c r="B570" t="str">
        <f>A536</f>
        <v>Healthcare Assistant</v>
      </c>
      <c r="C570" t="s">
        <v>440</v>
      </c>
      <c r="D570">
        <f>(B545*_xlfn.XLOOKUP(B570,'Practice Inputs'!$A$28:$A$47,'Practice Inputs'!$L$28:$L$47,1920)*60)*N570</f>
        <v>0</v>
      </c>
      <c r="F570" s="38">
        <f>E570*M528</f>
        <v>0</v>
      </c>
      <c r="G570" s="38">
        <f>K528</f>
        <v>0</v>
      </c>
      <c r="H570" s="38">
        <f t="shared" si="129"/>
        <v>0</v>
      </c>
      <c r="I570" s="38">
        <f>D570*_xlfn.XLOOKUP($B570,$A$535:$A$536,$D$535:$D$536,0)/(_xlfn.XLOOKUP(B570,'Practice Inputs'!$A$28:$A$47,'Practice Inputs'!$L$28:$L$47)*60)</f>
        <v>0</v>
      </c>
      <c r="J570" s="38">
        <f>E570*'Practice Inputs'!$E$162*_xlfn.XLOOKUP(B570,'Practice Inputs'!$A$54:$A$67,'Practice Inputs'!$I$54:$I$67,0)*P570</f>
        <v>0</v>
      </c>
      <c r="K570">
        <v>0</v>
      </c>
      <c r="L570" s="38">
        <f t="shared" ref="L570" si="132">SUM(I570:K570)</f>
        <v>0</v>
      </c>
      <c r="M570" s="38">
        <f t="shared" ref="M570" si="133">H570-L570</f>
        <v>0</v>
      </c>
      <c r="N570">
        <f t="shared" si="130"/>
        <v>1</v>
      </c>
      <c r="O570">
        <f t="shared" si="131"/>
        <v>1</v>
      </c>
      <c r="P570">
        <f t="shared" ref="P570:P579" si="134">IF(C570="Add",1,0)</f>
        <v>1</v>
      </c>
    </row>
    <row r="571" spans="1:28" hidden="1" outlineLevel="1">
      <c r="A571" t="s">
        <v>462</v>
      </c>
      <c r="B571" s="30" t="str">
        <f>C542</f>
        <v>General practitioner</v>
      </c>
      <c r="C571" t="s">
        <v>416</v>
      </c>
      <c r="D571">
        <f>C546*_xlfn.XLOOKUP(B571,'Practice Inputs'!$A$28:$A$47,'Practice Inputs'!$L$28:$L$47,1920)*60*N571</f>
        <v>-44160</v>
      </c>
      <c r="E571" s="30" cm="1">
        <f t="array" ref="E571">IFERROR((C546*_xlfn.XLOOKUP(B571,'Practice Inputs'!$A$28:$A$47,'Practice Inputs'!$L$28:$L$47,1920)*60)/_xlfn.XLOOKUP(B571,'Practice Inputs'!$A$54:$A$67,'Practice Inputs'!$I$54:$I$67/'Practice Inputs'!$J$54:$J$67,0),0)*O571</f>
        <v>0</v>
      </c>
      <c r="F571" s="38">
        <f>E571*_xlfn.XLOOKUP($B571,'Practice Inputs'!$A$54:$A$67,'Practice Inputs'!$K$54:$K$67,0)</f>
        <v>0</v>
      </c>
      <c r="G571" s="38">
        <v>0</v>
      </c>
      <c r="H571" s="38">
        <f t="shared" si="129"/>
        <v>0</v>
      </c>
      <c r="I571" s="38">
        <f>D571*_xlfn.XLOOKUP($B571,'Practice Inputs'!$A$28:$A$47,'Practice Inputs'!$J$28:$J$47,0)</f>
        <v>-112021.72181999999</v>
      </c>
      <c r="J571" s="38">
        <f>E571*'Practice Inputs'!$E$162*_xlfn.XLOOKUP(B571,'Practice Inputs'!$A$54:$A$67,'Practice Inputs'!$I$54:$I$67,0)*P571</f>
        <v>0</v>
      </c>
      <c r="K571">
        <v>0</v>
      </c>
      <c r="L571" s="38">
        <f>SUM(I571:K571)</f>
        <v>-112021.72181999999</v>
      </c>
      <c r="M571" s="38">
        <f>H571-L571</f>
        <v>112021.72181999999</v>
      </c>
      <c r="N571">
        <f t="shared" si="130"/>
        <v>1</v>
      </c>
      <c r="O571">
        <f t="shared" si="131"/>
        <v>0</v>
      </c>
      <c r="P571">
        <f t="shared" si="134"/>
        <v>0</v>
      </c>
    </row>
    <row r="572" spans="1:28" hidden="1" outlineLevel="1">
      <c r="B572" s="30" t="str">
        <f>D542</f>
        <v>Nurse practitioner</v>
      </c>
      <c r="C572" t="s">
        <v>416</v>
      </c>
      <c r="D572">
        <f>D546*_xlfn.XLOOKUP(B572,'Practice Inputs'!$A$28:$A$47,'Practice Inputs'!$L$28:$L$47,1920)*60*N572</f>
        <v>0</v>
      </c>
      <c r="E572" s="30" cm="1">
        <f t="array" ref="E572">IFERROR((D546*_xlfn.XLOOKUP(B572,'Practice Inputs'!$A$28:$A$47,'Practice Inputs'!$L$28:$L$47,1920)*60)/_xlfn.XLOOKUP(B572,'Practice Inputs'!$A$54:$A$67,'Practice Inputs'!$I$54:$I$67/'Practice Inputs'!$J$54:$J$67,0),0)*O572</f>
        <v>0</v>
      </c>
      <c r="F572" s="38">
        <f>E572*_xlfn.XLOOKUP($B572,'Practice Inputs'!$A$54:$A$67,'Practice Inputs'!$K$54:$K$67,0)</f>
        <v>0</v>
      </c>
      <c r="G572" s="38">
        <v>0</v>
      </c>
      <c r="H572" s="38">
        <f t="shared" si="129"/>
        <v>0</v>
      </c>
      <c r="I572" s="38">
        <f>D572*_xlfn.XLOOKUP($B572,'Practice Inputs'!$A$28:$A$47,'Practice Inputs'!$J$28:$J$47,0)</f>
        <v>0</v>
      </c>
      <c r="J572" s="38">
        <f>E572*'Practice Inputs'!$E$162*_xlfn.XLOOKUP(B572,'Practice Inputs'!$A$54:$A$67,'Practice Inputs'!$I$54:$I$67,0)*P572</f>
        <v>0</v>
      </c>
      <c r="L572" s="38">
        <f t="shared" ref="L572:L576" si="135">SUM(I572:K572)</f>
        <v>0</v>
      </c>
      <c r="M572" s="38">
        <f t="shared" ref="M572:M576" si="136">H572-L572</f>
        <v>0</v>
      </c>
      <c r="N572">
        <f t="shared" si="130"/>
        <v>1</v>
      </c>
      <c r="O572">
        <f t="shared" si="131"/>
        <v>0</v>
      </c>
      <c r="P572">
        <f t="shared" si="134"/>
        <v>0</v>
      </c>
    </row>
    <row r="573" spans="1:28" hidden="1" outlineLevel="1">
      <c r="B573" s="30" t="str">
        <f>E542</f>
        <v>Nurse</v>
      </c>
      <c r="C573" t="s">
        <v>416</v>
      </c>
      <c r="D573">
        <f>E546*_xlfn.XLOOKUP(B573,'Practice Inputs'!$A$28:$A$47,'Practice Inputs'!$L$28:$L$47,1920)*60*N573</f>
        <v>-88320</v>
      </c>
      <c r="E573" s="30" cm="1">
        <f t="array" ref="E573">IFERROR((E546*_xlfn.XLOOKUP(B573,'Practice Inputs'!$A$28:$A$47,'Practice Inputs'!$L$28:$L$47,1920)*60)/_xlfn.XLOOKUP(B573,'Practice Inputs'!$A$54:$A$67,'Practice Inputs'!$I$54:$I$67/'Practice Inputs'!$J$54:$J$67,0),0)*O573</f>
        <v>0</v>
      </c>
      <c r="F573" s="38">
        <f>E573*_xlfn.XLOOKUP($B573,'Practice Inputs'!$A$54:$A$67,'Practice Inputs'!$K$54:$K$67,0)</f>
        <v>0</v>
      </c>
      <c r="G573" s="38">
        <v>0</v>
      </c>
      <c r="H573" s="38">
        <f t="shared" si="129"/>
        <v>0</v>
      </c>
      <c r="I573" s="38">
        <f>D573*_xlfn.XLOOKUP($B573,'Practice Inputs'!$A$28:$A$47,'Practice Inputs'!$J$28:$J$47,0)</f>
        <v>-72166.184208000006</v>
      </c>
      <c r="J573" s="38">
        <f>E573*'Practice Inputs'!$E$162*_xlfn.XLOOKUP(B573,'Practice Inputs'!$A$54:$A$67,'Practice Inputs'!$I$54:$I$67,0)*P573</f>
        <v>0</v>
      </c>
      <c r="K573">
        <v>0</v>
      </c>
      <c r="L573" s="38">
        <f t="shared" si="135"/>
        <v>-72166.184208000006</v>
      </c>
      <c r="M573" s="38">
        <f t="shared" si="136"/>
        <v>72166.184208000006</v>
      </c>
      <c r="N573">
        <f t="shared" si="130"/>
        <v>1</v>
      </c>
      <c r="O573">
        <f t="shared" si="131"/>
        <v>0</v>
      </c>
      <c r="P573">
        <f t="shared" si="134"/>
        <v>0</v>
      </c>
    </row>
    <row r="574" spans="1:28" hidden="1" outlineLevel="1">
      <c r="B574" s="30">
        <f>F542</f>
        <v>0</v>
      </c>
      <c r="C574" t="s">
        <v>416</v>
      </c>
      <c r="D574">
        <f>F546*_xlfn.XLOOKUP(B574,'Practice Inputs'!$A$28:$A$47,'Practice Inputs'!$L$28:$L$47,1920)*60*N574</f>
        <v>0</v>
      </c>
      <c r="E574" s="30" cm="1">
        <f t="array" ref="E574">IFERROR((F546*_xlfn.XLOOKUP(B574,'Practice Inputs'!$A$28:$A$47,'Practice Inputs'!$L$28:$L$47,1920)*60)/_xlfn.XLOOKUP(B574,'Practice Inputs'!$A$54:$A$67,'Practice Inputs'!$I$54:$I$67/'Practice Inputs'!$J$54:$J$67,0),0)*O574</f>
        <v>0</v>
      </c>
      <c r="F574" s="38">
        <f>E574*_xlfn.XLOOKUP($B574,'Practice Inputs'!$A$54:$A$67,'Practice Inputs'!$K$54:$K$67,0)</f>
        <v>0</v>
      </c>
      <c r="G574" s="38">
        <v>0</v>
      </c>
      <c r="H574" s="38">
        <f t="shared" si="129"/>
        <v>0</v>
      </c>
      <c r="I574" s="38">
        <f>D574*_xlfn.XLOOKUP($B574,'Practice Inputs'!$A$28:$A$47,'Practice Inputs'!$J$28:$J$47,0)</f>
        <v>0</v>
      </c>
      <c r="J574" s="38">
        <f>E574*'Practice Inputs'!$E$162*_xlfn.XLOOKUP(B574,'Practice Inputs'!$A$54:$A$67,'Practice Inputs'!$I$54:$I$67,0)*P574</f>
        <v>0</v>
      </c>
      <c r="L574" s="38">
        <f t="shared" si="135"/>
        <v>0</v>
      </c>
      <c r="M574" s="38">
        <f t="shared" si="136"/>
        <v>0</v>
      </c>
      <c r="N574">
        <f t="shared" si="130"/>
        <v>1</v>
      </c>
      <c r="O574">
        <f t="shared" si="131"/>
        <v>0</v>
      </c>
      <c r="P574">
        <f t="shared" si="134"/>
        <v>0</v>
      </c>
    </row>
    <row r="575" spans="1:28" hidden="1" outlineLevel="1">
      <c r="B575" s="30">
        <f>G542</f>
        <v>0</v>
      </c>
      <c r="C575" t="s">
        <v>416</v>
      </c>
      <c r="D575">
        <f>G546*_xlfn.XLOOKUP(B575,'Practice Inputs'!$A$28:$A$47,'Practice Inputs'!$L$28:$L$47,1920)*60*N575</f>
        <v>0</v>
      </c>
      <c r="E575" s="30" cm="1">
        <f t="array" ref="E575">IFERROR((G546*_xlfn.XLOOKUP(B575,'Practice Inputs'!$A$28:$A$47,'Practice Inputs'!$L$28:$L$47,1920)*60)/_xlfn.XLOOKUP(B575,'Practice Inputs'!$A$54:$A$67,'Practice Inputs'!$I$54:$I$67/'Practice Inputs'!$J$54:$J$67,0),0)*O575</f>
        <v>0</v>
      </c>
      <c r="F575" s="38">
        <f>E575*_xlfn.XLOOKUP($B575,'Practice Inputs'!$A$54:$A$67,'Practice Inputs'!$K$54:$K$67,0)</f>
        <v>0</v>
      </c>
      <c r="G575" s="38">
        <v>0</v>
      </c>
      <c r="H575" s="38">
        <f t="shared" si="129"/>
        <v>0</v>
      </c>
      <c r="I575" s="38">
        <f>D575*_xlfn.XLOOKUP($B575,'Practice Inputs'!$A$28:$A$47,'Practice Inputs'!$J$28:$J$47,0)</f>
        <v>0</v>
      </c>
      <c r="J575" s="38">
        <f>E575*'Practice Inputs'!$E$162*_xlfn.XLOOKUP(B575,'Practice Inputs'!$A$54:$A$67,'Practice Inputs'!$I$54:$I$67,0)*P575</f>
        <v>0</v>
      </c>
      <c r="L575" s="38">
        <f t="shared" si="135"/>
        <v>0</v>
      </c>
      <c r="M575" s="38">
        <f t="shared" si="136"/>
        <v>0</v>
      </c>
      <c r="N575">
        <f t="shared" si="130"/>
        <v>1</v>
      </c>
      <c r="O575">
        <f t="shared" si="131"/>
        <v>0</v>
      </c>
      <c r="P575">
        <f t="shared" si="134"/>
        <v>0</v>
      </c>
    </row>
    <row r="576" spans="1:28" hidden="1" outlineLevel="1">
      <c r="B576" s="30">
        <f>H542</f>
        <v>0</v>
      </c>
      <c r="C576" t="s">
        <v>416</v>
      </c>
      <c r="D576">
        <f>H546*_xlfn.XLOOKUP(B576,'Practice Inputs'!$A$28:$A$47,'Practice Inputs'!$L$28:$L$47,1920)*60*N576</f>
        <v>0</v>
      </c>
      <c r="E576" s="30" cm="1">
        <f t="array" ref="E576">IFERROR((H546*_xlfn.XLOOKUP(B576,'Practice Inputs'!$A$28:$A$47,'Practice Inputs'!$L$28:$L$47,1920)*60)/_xlfn.XLOOKUP(B576,'Practice Inputs'!$A$54:$A$67,'Practice Inputs'!$I$54:$I$67/'Practice Inputs'!$J$54:$J$67,0),0)*O576</f>
        <v>0</v>
      </c>
      <c r="F576" s="38">
        <f>E576*_xlfn.XLOOKUP($B576,'Practice Inputs'!$A$54:$A$67,'Practice Inputs'!$K$54:$K$67,0)</f>
        <v>0</v>
      </c>
      <c r="G576" s="38">
        <v>0</v>
      </c>
      <c r="H576" s="38">
        <f t="shared" si="129"/>
        <v>0</v>
      </c>
      <c r="I576" s="38">
        <f>D576*_xlfn.XLOOKUP($B576,'Practice Inputs'!$A$28:$A$47,'Practice Inputs'!$J$28:$J$47,0)</f>
        <v>0</v>
      </c>
      <c r="J576" s="38">
        <f>E576*'Practice Inputs'!$E$162*_xlfn.XLOOKUP(B576,'Practice Inputs'!$A$54:$A$67,'Practice Inputs'!$I$54:$I$67,0)*P576</f>
        <v>0</v>
      </c>
      <c r="L576" s="38">
        <f t="shared" si="135"/>
        <v>0</v>
      </c>
      <c r="M576" s="38">
        <f t="shared" si="136"/>
        <v>0</v>
      </c>
      <c r="N576">
        <f t="shared" si="130"/>
        <v>1</v>
      </c>
      <c r="O576">
        <f t="shared" si="131"/>
        <v>0</v>
      </c>
      <c r="P576">
        <f t="shared" si="134"/>
        <v>0</v>
      </c>
    </row>
    <row r="577" spans="1:74" hidden="1" outlineLevel="1">
      <c r="A577" t="s">
        <v>463</v>
      </c>
      <c r="B577" t="s">
        <v>136</v>
      </c>
      <c r="C577" t="s">
        <v>416</v>
      </c>
      <c r="D577">
        <f>SUMIF($C$551:$C$552,B577,$D$551:$D$552)*_xlfn.XLOOKUP(B577,'Practice Inputs'!$A$28:$A$47,'Practice Inputs'!$L$28:$L$47,1920)*60*N577</f>
        <v>11040</v>
      </c>
      <c r="E577" cm="1">
        <f t="array" ref="E577">IFERROR((SUMIF($C$551:$C$552,B577,$D$551:$D$552)*_xlfn.XLOOKUP(B577,'Practice Inputs'!$A$28:$A$47,'Practice Inputs'!$L$28:$L$47,1920)*60)/_xlfn.XLOOKUP(B577,'Practice Inputs'!$A$54:$A$67,'Practice Inputs'!$I$54:$I$67/'Practice Inputs'!$J$54:$J$67,0),0)*O577</f>
        <v>0</v>
      </c>
      <c r="F577" s="38">
        <f>E577*_xlfn.XLOOKUP($B577,'Practice Inputs'!$A$54:$A$67,'Practice Inputs'!$K$54:$K$67,0)</f>
        <v>0</v>
      </c>
      <c r="G577" s="38">
        <v>0</v>
      </c>
      <c r="H577" s="38">
        <f t="shared" ref="H577:H579" si="137">SUM(F577:G577)</f>
        <v>0</v>
      </c>
      <c r="I577" s="38">
        <f>D577*_xlfn.XLOOKUP($B577,'Practice Inputs'!$A$28:$A$47,'Practice Inputs'!$J$28:$J$47,0)</f>
        <v>28005.430454999998</v>
      </c>
      <c r="J577" s="38">
        <f>E577*'Practice Inputs'!$E$162*_xlfn.XLOOKUP(B577,'Practice Inputs'!$A$54:$A$67,'Practice Inputs'!$I$54:$I$67,0)*P577</f>
        <v>0</v>
      </c>
      <c r="K577">
        <v>0</v>
      </c>
      <c r="L577" s="38">
        <f>SUM(I577:K577)</f>
        <v>28005.430454999998</v>
      </c>
      <c r="M577" s="38">
        <f>H577-L577</f>
        <v>-28005.430454999998</v>
      </c>
      <c r="N577">
        <f>IF(C577="Repurpose",0,1)</f>
        <v>1</v>
      </c>
      <c r="O577">
        <f>IF(C577="Repurpose",-1,IF(C577="Add",1,0))</f>
        <v>0</v>
      </c>
      <c r="P577">
        <f t="shared" si="134"/>
        <v>0</v>
      </c>
    </row>
    <row r="578" spans="1:74" hidden="1" outlineLevel="1">
      <c r="B578" t="s">
        <v>284</v>
      </c>
      <c r="C578" t="s">
        <v>416</v>
      </c>
      <c r="D578">
        <f>SUMIF($C$551:$C$552,B578,$D$551:$D$552)*_xlfn.XLOOKUP(B578,'Practice Inputs'!$A$28:$A$47,'Practice Inputs'!$L$28:$L$47,1920)*60*N578</f>
        <v>0</v>
      </c>
      <c r="E578" cm="1">
        <f t="array" ref="E578">IFERROR((SUMIF($C$551:$C$552,B578,$D$551:$D$552)*_xlfn.XLOOKUP(B578,'Practice Inputs'!$A$28:$A$47,'Practice Inputs'!$L$28:$L$47,1920)*60)/_xlfn.XLOOKUP(B578,'Practice Inputs'!$A$54:$A$67,'Practice Inputs'!$I$54:$I$67/'Practice Inputs'!$J$54:$J$67,0),0)*O578</f>
        <v>0</v>
      </c>
      <c r="F578" s="38">
        <f>E578*_xlfn.XLOOKUP($B578,'Practice Inputs'!$A$54:$A$67,'Practice Inputs'!$K$54:$K$67,0)</f>
        <v>0</v>
      </c>
      <c r="G578" s="38">
        <v>0</v>
      </c>
      <c r="H578" s="38">
        <f t="shared" si="137"/>
        <v>0</v>
      </c>
      <c r="I578" s="38">
        <f>D578*_xlfn.XLOOKUP($B578,'Practice Inputs'!$A$28:$A$47,'Practice Inputs'!$J$28:$J$47,0)</f>
        <v>0</v>
      </c>
      <c r="J578" s="38">
        <f>E578*'Practice Inputs'!$E$162*_xlfn.XLOOKUP(B578,'Practice Inputs'!$A$54:$A$67,'Practice Inputs'!$I$54:$I$67,0)*P578</f>
        <v>0</v>
      </c>
      <c r="K578">
        <v>0</v>
      </c>
      <c r="L578" s="38">
        <f t="shared" ref="L578:L579" si="138">SUM(I578:K578)</f>
        <v>0</v>
      </c>
      <c r="M578" s="38">
        <f t="shared" ref="M578:M580" si="139">H578-L578</f>
        <v>0</v>
      </c>
      <c r="N578">
        <f t="shared" ref="N578:N579" si="140">IF(C578="Repurpose",0,1)</f>
        <v>1</v>
      </c>
      <c r="O578">
        <f t="shared" ref="O578:O579" si="141">IF(C578="Repurpose",-1,IF(C578="Add",1,0))</f>
        <v>0</v>
      </c>
      <c r="P578">
        <f t="shared" si="134"/>
        <v>0</v>
      </c>
    </row>
    <row r="579" spans="1:74" hidden="1" outlineLevel="1">
      <c r="B579" t="s">
        <v>90</v>
      </c>
      <c r="C579" t="s">
        <v>416</v>
      </c>
      <c r="D579">
        <f>SUMIF($C$551:$C$552,B579,$D$551:$D$552)*_xlfn.XLOOKUP(B579,'Practice Inputs'!$A$28:$A$47,'Practice Inputs'!$L$28:$L$47,1920)*60*N579</f>
        <v>11040</v>
      </c>
      <c r="E579" cm="1">
        <f t="array" ref="E579">IFERROR((SUMIF($C$551:$C$552,B579,$D$551:$D$552)*_xlfn.XLOOKUP(B579,'Practice Inputs'!$A$28:$A$47,'Practice Inputs'!$L$28:$L$47,1920)*60)/_xlfn.XLOOKUP(B579,'Practice Inputs'!$A$54:$A$67,'Practice Inputs'!$I$54:$I$67/'Practice Inputs'!$J$54:$J$67,0),0)*O579</f>
        <v>0</v>
      </c>
      <c r="F579" s="38">
        <f>E579*_xlfn.XLOOKUP($B579,'Practice Inputs'!$A$54:$A$67,'Practice Inputs'!$K$54:$K$67,0)</f>
        <v>0</v>
      </c>
      <c r="G579" s="38">
        <v>0</v>
      </c>
      <c r="H579" s="38">
        <f t="shared" si="137"/>
        <v>0</v>
      </c>
      <c r="I579" s="38">
        <f>D579*_xlfn.XLOOKUP($B579,'Practice Inputs'!$A$28:$A$47,'Practice Inputs'!$J$28:$J$47,0)</f>
        <v>9020.7730260000008</v>
      </c>
      <c r="J579" s="38">
        <f>E579*'Practice Inputs'!$E$162*_xlfn.XLOOKUP(B579,'Practice Inputs'!$A$54:$A$67,'Practice Inputs'!$I$54:$I$67,0)*P579</f>
        <v>0</v>
      </c>
      <c r="K579">
        <v>0</v>
      </c>
      <c r="L579" s="38">
        <f t="shared" si="138"/>
        <v>9020.7730260000008</v>
      </c>
      <c r="M579" s="38">
        <f t="shared" si="139"/>
        <v>-9020.7730260000008</v>
      </c>
      <c r="N579">
        <f t="shared" si="140"/>
        <v>1</v>
      </c>
      <c r="O579">
        <f t="shared" si="141"/>
        <v>0</v>
      </c>
      <c r="P579">
        <f t="shared" si="134"/>
        <v>0</v>
      </c>
    </row>
    <row r="580" spans="1:74" hidden="1" outlineLevel="1">
      <c r="A580" s="16" t="s">
        <v>464</v>
      </c>
      <c r="E580" s="30"/>
      <c r="F580" s="38"/>
      <c r="G580" s="38"/>
      <c r="H580" s="38">
        <f t="shared" ref="H580" si="142">SUM(F580:G580)</f>
        <v>0</v>
      </c>
      <c r="I580" s="38"/>
      <c r="J580" s="38">
        <f>SUM(D561:D563)</f>
        <v>0</v>
      </c>
      <c r="L580" s="38">
        <f t="shared" ref="L580" si="143">SUM(I580:K580)</f>
        <v>0</v>
      </c>
      <c r="M580" s="38">
        <f t="shared" si="139"/>
        <v>0</v>
      </c>
    </row>
    <row r="581" spans="1:74" hidden="1" outlineLevel="1">
      <c r="A581" s="32"/>
      <c r="B581" s="57" t="s">
        <v>92</v>
      </c>
      <c r="D581" s="58">
        <f t="shared" ref="D581:M581" si="144">SUM(D569:D580)</f>
        <v>-110400</v>
      </c>
      <c r="E581" s="58">
        <f t="shared" si="144"/>
        <v>0</v>
      </c>
      <c r="F581" s="59">
        <f t="shared" si="144"/>
        <v>0</v>
      </c>
      <c r="G581" s="59">
        <f t="shared" si="144"/>
        <v>0</v>
      </c>
      <c r="H581" s="59">
        <f t="shared" si="144"/>
        <v>0</v>
      </c>
      <c r="I581" s="59">
        <f t="shared" si="144"/>
        <v>-147161.70254699999</v>
      </c>
      <c r="J581" s="59">
        <f t="shared" si="144"/>
        <v>0</v>
      </c>
      <c r="K581" s="59">
        <f t="shared" si="144"/>
        <v>0</v>
      </c>
      <c r="L581" s="59">
        <f t="shared" si="144"/>
        <v>-147161.70254699999</v>
      </c>
      <c r="M581" s="59">
        <f t="shared" si="144"/>
        <v>147161.70254699999</v>
      </c>
    </row>
    <row r="582" spans="1:74" hidden="1" outlineLevel="1">
      <c r="A582" s="39"/>
      <c r="B582" s="39"/>
      <c r="C582" s="39"/>
      <c r="D582" s="39"/>
      <c r="E582" s="39"/>
      <c r="F582" s="39"/>
      <c r="G582" s="39"/>
    </row>
    <row r="583" spans="1:74" hidden="1" outlineLevel="1"/>
    <row r="584" spans="1:74" collapsed="1"/>
    <row r="586" spans="1:74" ht="18.899999999999999" hidden="1" outlineLevel="1" thickBot="1">
      <c r="A586" s="128" t="s">
        <v>528</v>
      </c>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19"/>
      <c r="BE586" s="119"/>
      <c r="BF586" s="119"/>
      <c r="BG586" s="119"/>
      <c r="BH586" s="119"/>
      <c r="BI586" s="119"/>
      <c r="BJ586" s="119"/>
      <c r="BK586" s="119"/>
      <c r="BL586" s="119"/>
      <c r="BM586" s="119"/>
      <c r="BN586" s="119"/>
      <c r="BO586" s="119"/>
      <c r="BP586" s="119"/>
      <c r="BQ586" s="119"/>
      <c r="BR586" s="119"/>
      <c r="BS586" s="119"/>
      <c r="BT586" s="119"/>
    </row>
    <row r="587" spans="1:74" hidden="1" outlineLevel="1">
      <c r="C587" t="s">
        <v>529</v>
      </c>
      <c r="L587">
        <v>12</v>
      </c>
      <c r="M587">
        <v>24</v>
      </c>
      <c r="N587">
        <v>26</v>
      </c>
      <c r="O587">
        <v>48</v>
      </c>
      <c r="P587">
        <v>52</v>
      </c>
      <c r="Q587" t="s">
        <v>530</v>
      </c>
    </row>
    <row r="588" spans="1:74" ht="26.15" hidden="1" outlineLevel="1">
      <c r="A588" s="61"/>
      <c r="B588" s="61" t="s">
        <v>531</v>
      </c>
      <c r="C588" s="22" t="s">
        <v>56</v>
      </c>
      <c r="D588" s="22" t="s">
        <v>532</v>
      </c>
      <c r="E588" t="s">
        <v>533</v>
      </c>
      <c r="F588" t="s">
        <v>534</v>
      </c>
      <c r="G588" t="s">
        <v>535</v>
      </c>
      <c r="H588" t="s">
        <v>536</v>
      </c>
      <c r="I588" t="s">
        <v>537</v>
      </c>
      <c r="J588" s="193" t="s">
        <v>538</v>
      </c>
      <c r="K588" s="193" t="s">
        <v>539</v>
      </c>
      <c r="L588" t="s">
        <v>188</v>
      </c>
      <c r="M588" t="s">
        <v>189</v>
      </c>
      <c r="N588" t="s">
        <v>190</v>
      </c>
      <c r="O588" t="s">
        <v>191</v>
      </c>
      <c r="P588" t="s">
        <v>192</v>
      </c>
      <c r="Q588" t="s">
        <v>188</v>
      </c>
      <c r="R588" t="s">
        <v>189</v>
      </c>
      <c r="S588" t="s">
        <v>190</v>
      </c>
      <c r="T588" t="s">
        <v>191</v>
      </c>
      <c r="U588" t="s">
        <v>192</v>
      </c>
      <c r="W588">
        <v>1</v>
      </c>
      <c r="X588">
        <v>2</v>
      </c>
      <c r="Y588">
        <v>3</v>
      </c>
      <c r="Z588">
        <v>4</v>
      </c>
      <c r="AA588">
        <v>5</v>
      </c>
      <c r="AB588">
        <v>6</v>
      </c>
      <c r="AC588">
        <v>7</v>
      </c>
      <c r="AD588">
        <v>8</v>
      </c>
      <c r="AE588">
        <v>9</v>
      </c>
      <c r="AF588">
        <v>10</v>
      </c>
      <c r="AG588">
        <v>11</v>
      </c>
      <c r="AH588">
        <v>12</v>
      </c>
      <c r="AI588">
        <v>13</v>
      </c>
      <c r="AJ588">
        <v>14</v>
      </c>
      <c r="AK588">
        <v>15</v>
      </c>
      <c r="AL588">
        <v>16</v>
      </c>
      <c r="AM588">
        <v>17</v>
      </c>
      <c r="AN588">
        <v>18</v>
      </c>
      <c r="AO588">
        <v>19</v>
      </c>
      <c r="AP588">
        <v>20</v>
      </c>
      <c r="AQ588">
        <v>21</v>
      </c>
      <c r="AR588">
        <v>22</v>
      </c>
      <c r="AS588">
        <v>23</v>
      </c>
      <c r="AT588">
        <v>24</v>
      </c>
      <c r="AU588">
        <v>25</v>
      </c>
      <c r="AV588">
        <v>26</v>
      </c>
      <c r="AW588">
        <v>27</v>
      </c>
      <c r="AX588">
        <v>28</v>
      </c>
      <c r="AY588">
        <v>29</v>
      </c>
      <c r="AZ588">
        <v>30</v>
      </c>
      <c r="BA588">
        <v>31</v>
      </c>
      <c r="BB588">
        <v>32</v>
      </c>
      <c r="BC588">
        <v>33</v>
      </c>
      <c r="BD588">
        <v>34</v>
      </c>
      <c r="BE588">
        <v>35</v>
      </c>
      <c r="BF588">
        <v>36</v>
      </c>
      <c r="BG588">
        <v>37</v>
      </c>
      <c r="BH588">
        <v>38</v>
      </c>
      <c r="BI588">
        <v>39</v>
      </c>
      <c r="BJ588">
        <v>40</v>
      </c>
      <c r="BK588">
        <v>41</v>
      </c>
      <c r="BL588">
        <v>42</v>
      </c>
      <c r="BM588">
        <v>43</v>
      </c>
      <c r="BN588">
        <v>44</v>
      </c>
      <c r="BO588">
        <v>45</v>
      </c>
      <c r="BP588">
        <v>46</v>
      </c>
      <c r="BQ588">
        <v>47</v>
      </c>
      <c r="BR588">
        <v>48</v>
      </c>
      <c r="BS588">
        <v>49</v>
      </c>
      <c r="BT588">
        <v>50</v>
      </c>
      <c r="BU588">
        <v>51</v>
      </c>
      <c r="BV588">
        <v>52</v>
      </c>
    </row>
    <row r="589" spans="1:74" hidden="1" outlineLevel="1">
      <c r="A589" s="16" t="s">
        <v>540</v>
      </c>
      <c r="B589" s="16"/>
      <c r="D589" s="193"/>
      <c r="E589" s="193"/>
      <c r="F589" s="193"/>
      <c r="G589" s="193"/>
      <c r="H589" s="193"/>
      <c r="I589" s="193"/>
      <c r="J589" s="193"/>
      <c r="K589" s="193"/>
    </row>
    <row r="590" spans="1:74" hidden="1" outlineLevel="1">
      <c r="A590" s="22" t="s">
        <v>240</v>
      </c>
      <c r="B590" s="55" t="str">
        <f>'Urgent unplanned'!D13</f>
        <v>No</v>
      </c>
      <c r="C590" s="38">
        <f>G99*IF($B590="Yes",1,0)</f>
        <v>0</v>
      </c>
      <c r="D590" s="38">
        <f>M99*IF($B590="Yes",1,0)</f>
        <v>0</v>
      </c>
      <c r="E590" s="44">
        <f>SUM(D49:D51)*IF($B590="Yes",1,0)</f>
        <v>0</v>
      </c>
      <c r="F590" s="30">
        <f>(SUMIF($B$96:$B$99,"General practitioner",$E$96:$E$99)+SUMIF($B$96:$B$99,"Nurse practitioner",$E$96:$E$99))*IF($B590="Yes",1,0)</f>
        <v>0</v>
      </c>
      <c r="G590" s="30">
        <f>SUMIF($B$96:$B$99,"Nurse",$E$96:$E$99)*IF($B590="Yes",1,0)</f>
        <v>0</v>
      </c>
      <c r="H590" s="194">
        <f>(E99-SUM(F590:G590))*IF($B590="Yes",1,0)</f>
        <v>0</v>
      </c>
      <c r="I590" s="194">
        <f>F99*IF($B590="Yes",1,0)</f>
        <v>0</v>
      </c>
      <c r="J590">
        <f>Results!C80</f>
        <v>0</v>
      </c>
      <c r="K590">
        <f>Results!D80</f>
        <v>0</v>
      </c>
      <c r="L590">
        <f>SUM(W590:AH590)/12</f>
        <v>1</v>
      </c>
      <c r="M590">
        <f>SUM(AI590:AT590)/12</f>
        <v>1</v>
      </c>
      <c r="N590">
        <f>SUM(AU590:BF590)/12</f>
        <v>1</v>
      </c>
      <c r="O590">
        <f>SUM(BG590:BR590)/12</f>
        <v>1</v>
      </c>
      <c r="P590">
        <f>SUM(BK590:BV590)/12</f>
        <v>1</v>
      </c>
      <c r="Q590" s="38">
        <f t="shared" ref="Q590:Q601" si="145">IF($J590&lt;=L$587,$E590,0)</f>
        <v>0</v>
      </c>
      <c r="R590" s="38">
        <f t="shared" ref="R590:R601" si="146">IF($J590&lt;=M$587,$E590,0)</f>
        <v>0</v>
      </c>
      <c r="S590" s="38">
        <f t="shared" ref="S590:S601" si="147">IF($J590&lt;=N$587,$E590,0)</f>
        <v>0</v>
      </c>
      <c r="T590" s="38">
        <f t="shared" ref="T590:T601" si="148">IF($J590&lt;=O$587,$E590,0)</f>
        <v>0</v>
      </c>
      <c r="U590" s="38">
        <f t="shared" ref="U590:U601" si="149">IF($J590&lt;=P$587,$E590,0)</f>
        <v>0</v>
      </c>
      <c r="W590">
        <f t="shared" ref="W590:BB590" si="150">IF(W$588&lt;$J590,0,IF(W$588&gt;($J590+$K590),1,1/($K590+1)+V590))</f>
        <v>1</v>
      </c>
      <c r="X590">
        <f t="shared" si="150"/>
        <v>1</v>
      </c>
      <c r="Y590">
        <f t="shared" si="150"/>
        <v>1</v>
      </c>
      <c r="Z590">
        <f t="shared" si="150"/>
        <v>1</v>
      </c>
      <c r="AA590">
        <f t="shared" si="150"/>
        <v>1</v>
      </c>
      <c r="AB590">
        <f t="shared" si="150"/>
        <v>1</v>
      </c>
      <c r="AC590">
        <f t="shared" si="150"/>
        <v>1</v>
      </c>
      <c r="AD590">
        <f t="shared" si="150"/>
        <v>1</v>
      </c>
      <c r="AE590">
        <f t="shared" si="150"/>
        <v>1</v>
      </c>
      <c r="AF590">
        <f t="shared" si="150"/>
        <v>1</v>
      </c>
      <c r="AG590">
        <f t="shared" si="150"/>
        <v>1</v>
      </c>
      <c r="AH590">
        <f t="shared" si="150"/>
        <v>1</v>
      </c>
      <c r="AI590">
        <f t="shared" si="150"/>
        <v>1</v>
      </c>
      <c r="AJ590">
        <f t="shared" si="150"/>
        <v>1</v>
      </c>
      <c r="AK590">
        <f t="shared" si="150"/>
        <v>1</v>
      </c>
      <c r="AL590">
        <f t="shared" si="150"/>
        <v>1</v>
      </c>
      <c r="AM590">
        <f t="shared" si="150"/>
        <v>1</v>
      </c>
      <c r="AN590">
        <f t="shared" si="150"/>
        <v>1</v>
      </c>
      <c r="AO590">
        <f t="shared" si="150"/>
        <v>1</v>
      </c>
      <c r="AP590">
        <f t="shared" si="150"/>
        <v>1</v>
      </c>
      <c r="AQ590">
        <f t="shared" si="150"/>
        <v>1</v>
      </c>
      <c r="AR590">
        <f t="shared" si="150"/>
        <v>1</v>
      </c>
      <c r="AS590">
        <f t="shared" si="150"/>
        <v>1</v>
      </c>
      <c r="AT590">
        <f t="shared" si="150"/>
        <v>1</v>
      </c>
      <c r="AU590">
        <f t="shared" si="150"/>
        <v>1</v>
      </c>
      <c r="AV590">
        <f t="shared" si="150"/>
        <v>1</v>
      </c>
      <c r="AW590">
        <f t="shared" si="150"/>
        <v>1</v>
      </c>
      <c r="AX590">
        <f t="shared" si="150"/>
        <v>1</v>
      </c>
      <c r="AY590">
        <f t="shared" si="150"/>
        <v>1</v>
      </c>
      <c r="AZ590">
        <f t="shared" si="150"/>
        <v>1</v>
      </c>
      <c r="BA590">
        <f t="shared" si="150"/>
        <v>1</v>
      </c>
      <c r="BB590">
        <f t="shared" si="150"/>
        <v>1</v>
      </c>
      <c r="BC590">
        <f t="shared" ref="BC590:BV590" si="151">IF(BC$588&lt;$J590,0,IF(BC$588&gt;($J590+$K590),1,1/($K590+1)+BB590))</f>
        <v>1</v>
      </c>
      <c r="BD590">
        <f t="shared" si="151"/>
        <v>1</v>
      </c>
      <c r="BE590">
        <f t="shared" si="151"/>
        <v>1</v>
      </c>
      <c r="BF590">
        <f t="shared" si="151"/>
        <v>1</v>
      </c>
      <c r="BG590">
        <f t="shared" si="151"/>
        <v>1</v>
      </c>
      <c r="BH590">
        <f t="shared" si="151"/>
        <v>1</v>
      </c>
      <c r="BI590">
        <f t="shared" si="151"/>
        <v>1</v>
      </c>
      <c r="BJ590">
        <f t="shared" si="151"/>
        <v>1</v>
      </c>
      <c r="BK590">
        <f t="shared" si="151"/>
        <v>1</v>
      </c>
      <c r="BL590">
        <f t="shared" si="151"/>
        <v>1</v>
      </c>
      <c r="BM590">
        <f t="shared" si="151"/>
        <v>1</v>
      </c>
      <c r="BN590">
        <f t="shared" si="151"/>
        <v>1</v>
      </c>
      <c r="BO590">
        <f t="shared" si="151"/>
        <v>1</v>
      </c>
      <c r="BP590">
        <f t="shared" si="151"/>
        <v>1</v>
      </c>
      <c r="BQ590">
        <f t="shared" si="151"/>
        <v>1</v>
      </c>
      <c r="BR590">
        <f t="shared" si="151"/>
        <v>1</v>
      </c>
      <c r="BS590">
        <f t="shared" si="151"/>
        <v>1</v>
      </c>
      <c r="BT590">
        <f t="shared" si="151"/>
        <v>1</v>
      </c>
      <c r="BU590">
        <f t="shared" si="151"/>
        <v>1</v>
      </c>
      <c r="BV590">
        <f t="shared" si="151"/>
        <v>1</v>
      </c>
    </row>
    <row r="591" spans="1:74" hidden="1" outlineLevel="1">
      <c r="A591" s="22" t="s">
        <v>94</v>
      </c>
      <c r="B591" s="55" t="str">
        <f>'Urgent unplanned'!D14</f>
        <v>No</v>
      </c>
      <c r="C591" s="38">
        <f>H163*IF($B591="Yes",1,0)</f>
        <v>0</v>
      </c>
      <c r="D591" s="38">
        <f>L163*IF($B591="Yes",1,0)</f>
        <v>0</v>
      </c>
      <c r="E591" s="44">
        <f>SUM(D133:D135)*IF($B591="Yes",1,0)</f>
        <v>0</v>
      </c>
      <c r="F591" s="30">
        <f>(SUMIF($B$159:$B$163,"General practitioner",$E$159:$E$163)+SUMIF($B$159:$B$163,"Nurse practitioner",$E$159:$E$163))*IF($B591="Yes",1,0)</f>
        <v>0</v>
      </c>
      <c r="G591" s="30">
        <f>SUMIF($B$159:$B$163,"Nurse",$E$159:$E$163)*IF($B591="Yes",1,0)</f>
        <v>0</v>
      </c>
      <c r="H591" s="194">
        <f>(E163-SUM(F591:G591))*IF($B591="Yes",1,0)</f>
        <v>0</v>
      </c>
      <c r="I591" s="194"/>
      <c r="J591">
        <f>Results!C81</f>
        <v>0</v>
      </c>
      <c r="K591">
        <f>Results!D81</f>
        <v>0</v>
      </c>
      <c r="L591">
        <f>SUM(W591:AH591)/12</f>
        <v>1</v>
      </c>
      <c r="M591">
        <f>SUM(AI591:AT591)/12</f>
        <v>1</v>
      </c>
      <c r="N591">
        <f>SUM(AU591:BF591)/12</f>
        <v>1</v>
      </c>
      <c r="O591">
        <f>SUM(BG591:BR591)/12</f>
        <v>1</v>
      </c>
      <c r="P591">
        <f>SUM(BK591:BV591)/12</f>
        <v>1</v>
      </c>
      <c r="Q591" s="38">
        <f t="shared" si="145"/>
        <v>0</v>
      </c>
      <c r="R591" s="38">
        <f t="shared" si="146"/>
        <v>0</v>
      </c>
      <c r="S591" s="38">
        <f t="shared" si="147"/>
        <v>0</v>
      </c>
      <c r="T591" s="38">
        <f t="shared" si="148"/>
        <v>0</v>
      </c>
      <c r="U591" s="38">
        <f t="shared" si="149"/>
        <v>0</v>
      </c>
      <c r="W591">
        <f t="shared" ref="W591:BB591" si="152">IF(W$588&lt;$J591,0,IF(W$588&gt;($J591+$K591),1,1/($K591+1)+V591))</f>
        <v>1</v>
      </c>
      <c r="X591">
        <f t="shared" si="152"/>
        <v>1</v>
      </c>
      <c r="Y591">
        <f t="shared" si="152"/>
        <v>1</v>
      </c>
      <c r="Z591">
        <f t="shared" si="152"/>
        <v>1</v>
      </c>
      <c r="AA591">
        <f t="shared" si="152"/>
        <v>1</v>
      </c>
      <c r="AB591">
        <f t="shared" si="152"/>
        <v>1</v>
      </c>
      <c r="AC591">
        <f t="shared" si="152"/>
        <v>1</v>
      </c>
      <c r="AD591">
        <f t="shared" si="152"/>
        <v>1</v>
      </c>
      <c r="AE591">
        <f t="shared" si="152"/>
        <v>1</v>
      </c>
      <c r="AF591">
        <f t="shared" si="152"/>
        <v>1</v>
      </c>
      <c r="AG591">
        <f t="shared" si="152"/>
        <v>1</v>
      </c>
      <c r="AH591">
        <f t="shared" si="152"/>
        <v>1</v>
      </c>
      <c r="AI591">
        <f t="shared" si="152"/>
        <v>1</v>
      </c>
      <c r="AJ591">
        <f t="shared" si="152"/>
        <v>1</v>
      </c>
      <c r="AK591">
        <f t="shared" si="152"/>
        <v>1</v>
      </c>
      <c r="AL591">
        <f t="shared" si="152"/>
        <v>1</v>
      </c>
      <c r="AM591">
        <f t="shared" si="152"/>
        <v>1</v>
      </c>
      <c r="AN591">
        <f t="shared" si="152"/>
        <v>1</v>
      </c>
      <c r="AO591">
        <f t="shared" si="152"/>
        <v>1</v>
      </c>
      <c r="AP591">
        <f t="shared" si="152"/>
        <v>1</v>
      </c>
      <c r="AQ591">
        <f t="shared" si="152"/>
        <v>1</v>
      </c>
      <c r="AR591">
        <f t="shared" si="152"/>
        <v>1</v>
      </c>
      <c r="AS591">
        <f t="shared" si="152"/>
        <v>1</v>
      </c>
      <c r="AT591">
        <f t="shared" si="152"/>
        <v>1</v>
      </c>
      <c r="AU591">
        <f t="shared" si="152"/>
        <v>1</v>
      </c>
      <c r="AV591">
        <f t="shared" si="152"/>
        <v>1</v>
      </c>
      <c r="AW591">
        <f t="shared" si="152"/>
        <v>1</v>
      </c>
      <c r="AX591">
        <f t="shared" si="152"/>
        <v>1</v>
      </c>
      <c r="AY591">
        <f t="shared" si="152"/>
        <v>1</v>
      </c>
      <c r="AZ591">
        <f t="shared" si="152"/>
        <v>1</v>
      </c>
      <c r="BA591">
        <f t="shared" si="152"/>
        <v>1</v>
      </c>
      <c r="BB591">
        <f t="shared" si="152"/>
        <v>1</v>
      </c>
      <c r="BC591">
        <f t="shared" ref="BC591:BV591" si="153">IF(BC$588&lt;$J591,0,IF(BC$588&gt;($J591+$K591),1,1/($K591+1)+BB591))</f>
        <v>1</v>
      </c>
      <c r="BD591">
        <f t="shared" si="153"/>
        <v>1</v>
      </c>
      <c r="BE591">
        <f t="shared" si="153"/>
        <v>1</v>
      </c>
      <c r="BF591">
        <f t="shared" si="153"/>
        <v>1</v>
      </c>
      <c r="BG591">
        <f t="shared" si="153"/>
        <v>1</v>
      </c>
      <c r="BH591">
        <f t="shared" si="153"/>
        <v>1</v>
      </c>
      <c r="BI591">
        <f t="shared" si="153"/>
        <v>1</v>
      </c>
      <c r="BJ591">
        <f t="shared" si="153"/>
        <v>1</v>
      </c>
      <c r="BK591">
        <f t="shared" si="153"/>
        <v>1</v>
      </c>
      <c r="BL591">
        <f t="shared" si="153"/>
        <v>1</v>
      </c>
      <c r="BM591">
        <f t="shared" si="153"/>
        <v>1</v>
      </c>
      <c r="BN591">
        <f t="shared" si="153"/>
        <v>1</v>
      </c>
      <c r="BO591">
        <f t="shared" si="153"/>
        <v>1</v>
      </c>
      <c r="BP591">
        <f t="shared" si="153"/>
        <v>1</v>
      </c>
      <c r="BQ591">
        <f t="shared" si="153"/>
        <v>1</v>
      </c>
      <c r="BR591">
        <f t="shared" si="153"/>
        <v>1</v>
      </c>
      <c r="BS591">
        <f t="shared" si="153"/>
        <v>1</v>
      </c>
      <c r="BT591">
        <f t="shared" si="153"/>
        <v>1</v>
      </c>
      <c r="BU591">
        <f t="shared" si="153"/>
        <v>1</v>
      </c>
      <c r="BV591">
        <f t="shared" si="153"/>
        <v>1</v>
      </c>
    </row>
    <row r="592" spans="1:74" hidden="1" outlineLevel="1">
      <c r="A592" t="s">
        <v>241</v>
      </c>
      <c r="F592" s="194"/>
      <c r="G592" s="194"/>
      <c r="H592" s="194"/>
      <c r="I592" s="194"/>
      <c r="J592">
        <f>Results!C82</f>
        <v>0</v>
      </c>
      <c r="K592">
        <f>Results!D82</f>
        <v>0</v>
      </c>
      <c r="Q592" s="38">
        <f t="shared" si="145"/>
        <v>0</v>
      </c>
      <c r="R592" s="38">
        <f t="shared" si="146"/>
        <v>0</v>
      </c>
      <c r="S592" s="38">
        <f t="shared" si="147"/>
        <v>0</v>
      </c>
      <c r="T592" s="38">
        <f t="shared" si="148"/>
        <v>0</v>
      </c>
      <c r="U592" s="38">
        <f t="shared" si="149"/>
        <v>0</v>
      </c>
      <c r="W592">
        <f t="shared" ref="W592:BB592" si="154">IF(W$588&lt;$J592,0,IF(W$588&gt;($J592+$K592),1,1/($K592+1)+V592))</f>
        <v>1</v>
      </c>
      <c r="X592">
        <f t="shared" si="154"/>
        <v>1</v>
      </c>
      <c r="Y592">
        <f t="shared" si="154"/>
        <v>1</v>
      </c>
      <c r="Z592">
        <f t="shared" si="154"/>
        <v>1</v>
      </c>
      <c r="AA592">
        <f t="shared" si="154"/>
        <v>1</v>
      </c>
      <c r="AB592">
        <f t="shared" si="154"/>
        <v>1</v>
      </c>
      <c r="AC592">
        <f t="shared" si="154"/>
        <v>1</v>
      </c>
      <c r="AD592">
        <f t="shared" si="154"/>
        <v>1</v>
      </c>
      <c r="AE592">
        <f t="shared" si="154"/>
        <v>1</v>
      </c>
      <c r="AF592">
        <f t="shared" si="154"/>
        <v>1</v>
      </c>
      <c r="AG592">
        <f t="shared" si="154"/>
        <v>1</v>
      </c>
      <c r="AH592">
        <f t="shared" si="154"/>
        <v>1</v>
      </c>
      <c r="AI592">
        <f t="shared" si="154"/>
        <v>1</v>
      </c>
      <c r="AJ592">
        <f t="shared" si="154"/>
        <v>1</v>
      </c>
      <c r="AK592">
        <f t="shared" si="154"/>
        <v>1</v>
      </c>
      <c r="AL592">
        <f t="shared" si="154"/>
        <v>1</v>
      </c>
      <c r="AM592">
        <f t="shared" si="154"/>
        <v>1</v>
      </c>
      <c r="AN592">
        <f t="shared" si="154"/>
        <v>1</v>
      </c>
      <c r="AO592">
        <f t="shared" si="154"/>
        <v>1</v>
      </c>
      <c r="AP592">
        <f t="shared" si="154"/>
        <v>1</v>
      </c>
      <c r="AQ592">
        <f t="shared" si="154"/>
        <v>1</v>
      </c>
      <c r="AR592">
        <f t="shared" si="154"/>
        <v>1</v>
      </c>
      <c r="AS592">
        <f t="shared" si="154"/>
        <v>1</v>
      </c>
      <c r="AT592">
        <f t="shared" si="154"/>
        <v>1</v>
      </c>
      <c r="AU592">
        <f t="shared" si="154"/>
        <v>1</v>
      </c>
      <c r="AV592">
        <f t="shared" si="154"/>
        <v>1</v>
      </c>
      <c r="AW592">
        <f t="shared" si="154"/>
        <v>1</v>
      </c>
      <c r="AX592">
        <f t="shared" si="154"/>
        <v>1</v>
      </c>
      <c r="AY592">
        <f t="shared" si="154"/>
        <v>1</v>
      </c>
      <c r="AZ592">
        <f t="shared" si="154"/>
        <v>1</v>
      </c>
      <c r="BA592">
        <f t="shared" si="154"/>
        <v>1</v>
      </c>
      <c r="BB592">
        <f t="shared" si="154"/>
        <v>1</v>
      </c>
      <c r="BC592">
        <f t="shared" ref="BC592:BV592" si="155">IF(BC$588&lt;$J592,0,IF(BC$588&gt;($J592+$K592),1,1/($K592+1)+BB592))</f>
        <v>1</v>
      </c>
      <c r="BD592">
        <f t="shared" si="155"/>
        <v>1</v>
      </c>
      <c r="BE592">
        <f t="shared" si="155"/>
        <v>1</v>
      </c>
      <c r="BF592">
        <f t="shared" si="155"/>
        <v>1</v>
      </c>
      <c r="BG592">
        <f t="shared" si="155"/>
        <v>1</v>
      </c>
      <c r="BH592">
        <f t="shared" si="155"/>
        <v>1</v>
      </c>
      <c r="BI592">
        <f t="shared" si="155"/>
        <v>1</v>
      </c>
      <c r="BJ592">
        <f t="shared" si="155"/>
        <v>1</v>
      </c>
      <c r="BK592">
        <f t="shared" si="155"/>
        <v>1</v>
      </c>
      <c r="BL592">
        <f t="shared" si="155"/>
        <v>1</v>
      </c>
      <c r="BM592">
        <f t="shared" si="155"/>
        <v>1</v>
      </c>
      <c r="BN592">
        <f t="shared" si="155"/>
        <v>1</v>
      </c>
      <c r="BO592">
        <f t="shared" si="155"/>
        <v>1</v>
      </c>
      <c r="BP592">
        <f t="shared" si="155"/>
        <v>1</v>
      </c>
      <c r="BQ592">
        <f t="shared" si="155"/>
        <v>1</v>
      </c>
      <c r="BR592">
        <f t="shared" si="155"/>
        <v>1</v>
      </c>
      <c r="BS592">
        <f t="shared" si="155"/>
        <v>1</v>
      </c>
      <c r="BT592">
        <f t="shared" si="155"/>
        <v>1</v>
      </c>
      <c r="BU592">
        <f t="shared" si="155"/>
        <v>1</v>
      </c>
      <c r="BV592">
        <f t="shared" si="155"/>
        <v>1</v>
      </c>
    </row>
    <row r="593" spans="1:74" hidden="1" outlineLevel="1">
      <c r="A593" s="22" t="s">
        <v>242</v>
      </c>
      <c r="B593" s="55" t="str">
        <f>'Proactive preventative'!E8</f>
        <v>No</v>
      </c>
      <c r="C593" s="38">
        <f>H246*IF($B593="Yes",1,0)</f>
        <v>0</v>
      </c>
      <c r="D593" s="38" t="e">
        <f>L246*IF($B593="Yes",1,0)</f>
        <v>#VALUE!</v>
      </c>
      <c r="E593" s="44">
        <f>SUM(D133:D135)*IF($B593="Yes",1,0)</f>
        <v>0</v>
      </c>
      <c r="F593" s="30">
        <f>(SUMIF($B$230:$B$246,"General practitioner",$E$230:$E$246)+SUMIF($B$230:$B$246,"Nurse practitioner",$E$230:$E$246))*IF($B593="Yes",1,0)</f>
        <v>0</v>
      </c>
      <c r="G593" s="30">
        <f>SUMIF($B$230:$B$246,"Nurse",$E$230:$E$246)*IF($B593="Yes",1,0)</f>
        <v>0</v>
      </c>
      <c r="H593" s="194">
        <f>(E246-SUM(F593:G593))*IF($B593="Yes",1,0)</f>
        <v>0</v>
      </c>
      <c r="I593" s="194"/>
      <c r="J593">
        <f>Results!C83</f>
        <v>0</v>
      </c>
      <c r="K593">
        <f>Results!D83</f>
        <v>0</v>
      </c>
      <c r="L593">
        <f>SUM(W593:AH593)/12</f>
        <v>1</v>
      </c>
      <c r="M593">
        <f>SUM(AI593:AT593)/12</f>
        <v>1</v>
      </c>
      <c r="N593">
        <f>SUM(AU593:BF593)/12</f>
        <v>1</v>
      </c>
      <c r="O593">
        <f>SUM(BG593:BR593)/12</f>
        <v>1</v>
      </c>
      <c r="P593">
        <f>SUM(BK593:BV593)/12</f>
        <v>1</v>
      </c>
      <c r="Q593" s="38">
        <f t="shared" si="145"/>
        <v>0</v>
      </c>
      <c r="R593" s="38">
        <f t="shared" si="146"/>
        <v>0</v>
      </c>
      <c r="S593" s="38">
        <f t="shared" si="147"/>
        <v>0</v>
      </c>
      <c r="T593" s="38">
        <f t="shared" si="148"/>
        <v>0</v>
      </c>
      <c r="U593" s="38">
        <f t="shared" si="149"/>
        <v>0</v>
      </c>
      <c r="W593">
        <f t="shared" ref="W593:BB593" si="156">IF(W$588&lt;$J593,0,IF(W$588&gt;($J593+$K593),1,1/($K593+1)+V593))</f>
        <v>1</v>
      </c>
      <c r="X593">
        <f t="shared" si="156"/>
        <v>1</v>
      </c>
      <c r="Y593">
        <f t="shared" si="156"/>
        <v>1</v>
      </c>
      <c r="Z593">
        <f t="shared" si="156"/>
        <v>1</v>
      </c>
      <c r="AA593">
        <f t="shared" si="156"/>
        <v>1</v>
      </c>
      <c r="AB593">
        <f t="shared" si="156"/>
        <v>1</v>
      </c>
      <c r="AC593">
        <f t="shared" si="156"/>
        <v>1</v>
      </c>
      <c r="AD593">
        <f t="shared" si="156"/>
        <v>1</v>
      </c>
      <c r="AE593">
        <f t="shared" si="156"/>
        <v>1</v>
      </c>
      <c r="AF593">
        <f t="shared" si="156"/>
        <v>1</v>
      </c>
      <c r="AG593">
        <f t="shared" si="156"/>
        <v>1</v>
      </c>
      <c r="AH593">
        <f t="shared" si="156"/>
        <v>1</v>
      </c>
      <c r="AI593">
        <f t="shared" si="156"/>
        <v>1</v>
      </c>
      <c r="AJ593">
        <f t="shared" si="156"/>
        <v>1</v>
      </c>
      <c r="AK593">
        <f t="shared" si="156"/>
        <v>1</v>
      </c>
      <c r="AL593">
        <f t="shared" si="156"/>
        <v>1</v>
      </c>
      <c r="AM593">
        <f t="shared" si="156"/>
        <v>1</v>
      </c>
      <c r="AN593">
        <f t="shared" si="156"/>
        <v>1</v>
      </c>
      <c r="AO593">
        <f t="shared" si="156"/>
        <v>1</v>
      </c>
      <c r="AP593">
        <f t="shared" si="156"/>
        <v>1</v>
      </c>
      <c r="AQ593">
        <f t="shared" si="156"/>
        <v>1</v>
      </c>
      <c r="AR593">
        <f t="shared" si="156"/>
        <v>1</v>
      </c>
      <c r="AS593">
        <f t="shared" si="156"/>
        <v>1</v>
      </c>
      <c r="AT593">
        <f t="shared" si="156"/>
        <v>1</v>
      </c>
      <c r="AU593">
        <f t="shared" si="156"/>
        <v>1</v>
      </c>
      <c r="AV593">
        <f t="shared" si="156"/>
        <v>1</v>
      </c>
      <c r="AW593">
        <f t="shared" si="156"/>
        <v>1</v>
      </c>
      <c r="AX593">
        <f t="shared" si="156"/>
        <v>1</v>
      </c>
      <c r="AY593">
        <f t="shared" si="156"/>
        <v>1</v>
      </c>
      <c r="AZ593">
        <f t="shared" si="156"/>
        <v>1</v>
      </c>
      <c r="BA593">
        <f t="shared" si="156"/>
        <v>1</v>
      </c>
      <c r="BB593">
        <f t="shared" si="156"/>
        <v>1</v>
      </c>
      <c r="BC593">
        <f t="shared" ref="BC593:BV593" si="157">IF(BC$588&lt;$J593,0,IF(BC$588&gt;($J593+$K593),1,1/($K593+1)+BB593))</f>
        <v>1</v>
      </c>
      <c r="BD593">
        <f t="shared" si="157"/>
        <v>1</v>
      </c>
      <c r="BE593">
        <f t="shared" si="157"/>
        <v>1</v>
      </c>
      <c r="BF593">
        <f t="shared" si="157"/>
        <v>1</v>
      </c>
      <c r="BG593">
        <f t="shared" si="157"/>
        <v>1</v>
      </c>
      <c r="BH593">
        <f t="shared" si="157"/>
        <v>1</v>
      </c>
      <c r="BI593">
        <f t="shared" si="157"/>
        <v>1</v>
      </c>
      <c r="BJ593">
        <f t="shared" si="157"/>
        <v>1</v>
      </c>
      <c r="BK593">
        <f t="shared" si="157"/>
        <v>1</v>
      </c>
      <c r="BL593">
        <f t="shared" si="157"/>
        <v>1</v>
      </c>
      <c r="BM593">
        <f t="shared" si="157"/>
        <v>1</v>
      </c>
      <c r="BN593">
        <f t="shared" si="157"/>
        <v>1</v>
      </c>
      <c r="BO593">
        <f t="shared" si="157"/>
        <v>1</v>
      </c>
      <c r="BP593">
        <f t="shared" si="157"/>
        <v>1</v>
      </c>
      <c r="BQ593">
        <f t="shared" si="157"/>
        <v>1</v>
      </c>
      <c r="BR593">
        <f t="shared" si="157"/>
        <v>1</v>
      </c>
      <c r="BS593">
        <f t="shared" si="157"/>
        <v>1</v>
      </c>
      <c r="BT593">
        <f t="shared" si="157"/>
        <v>1</v>
      </c>
      <c r="BU593">
        <f t="shared" si="157"/>
        <v>1</v>
      </c>
      <c r="BV593">
        <f t="shared" si="157"/>
        <v>1</v>
      </c>
    </row>
    <row r="594" spans="1:74" hidden="1" outlineLevel="1">
      <c r="A594" s="22" t="s">
        <v>243</v>
      </c>
      <c r="B594" s="55" t="str">
        <f>'Proactive preventative'!E9</f>
        <v>No</v>
      </c>
      <c r="C594" s="38">
        <f>H340*IF($B594="Yes",1,0)</f>
        <v>0</v>
      </c>
      <c r="D594" s="38">
        <f>L340*IF($B594="Yes",1,0)</f>
        <v>0</v>
      </c>
      <c r="E594" s="44">
        <f>SUM(D301:D303)*IF($B594="Yes",1,0)</f>
        <v>0</v>
      </c>
      <c r="F594" s="30">
        <f>(SUMIF($B$335:$B$340,"General practitioner",$E$335:$E$340)+SUMIF($B$335:$B$340,"Nurse practitioner",$E$335:$E$340))*IF($B594="Yes",1,0)</f>
        <v>0</v>
      </c>
      <c r="G594" s="30">
        <f>SUMIF($B$335:$B$340,"Nurse",$E$335:$E$340)*IF($B594="Yes",1,0)</f>
        <v>0</v>
      </c>
      <c r="H594" s="194">
        <f>(E340-SUM(F594:G594))*IF($B594="Yes",1,0)</f>
        <v>0</v>
      </c>
      <c r="I594" s="194"/>
      <c r="J594">
        <f>Results!C84</f>
        <v>0</v>
      </c>
      <c r="K594">
        <f>Results!D84</f>
        <v>0</v>
      </c>
      <c r="L594">
        <f>SUM(W594:AH594)/12</f>
        <v>1</v>
      </c>
      <c r="M594">
        <f>SUM(AI594:AT594)/12</f>
        <v>1</v>
      </c>
      <c r="N594">
        <f>SUM(AU594:BF594)/12</f>
        <v>1</v>
      </c>
      <c r="O594">
        <f>SUM(BG594:BR594)/12</f>
        <v>1</v>
      </c>
      <c r="P594">
        <f>SUM(BK594:BV594)/12</f>
        <v>1</v>
      </c>
      <c r="Q594" s="38">
        <f t="shared" si="145"/>
        <v>0</v>
      </c>
      <c r="R594" s="38">
        <f t="shared" si="146"/>
        <v>0</v>
      </c>
      <c r="S594" s="38">
        <f t="shared" si="147"/>
        <v>0</v>
      </c>
      <c r="T594" s="38">
        <f t="shared" si="148"/>
        <v>0</v>
      </c>
      <c r="U594" s="38">
        <f t="shared" si="149"/>
        <v>0</v>
      </c>
      <c r="W594">
        <f t="shared" ref="W594:BB594" si="158">IF(W$588&lt;$J594,0,IF(W$588&gt;($J594+$K594),1,1/($K594+1)+V594))</f>
        <v>1</v>
      </c>
      <c r="X594">
        <f t="shared" si="158"/>
        <v>1</v>
      </c>
      <c r="Y594">
        <f t="shared" si="158"/>
        <v>1</v>
      </c>
      <c r="Z594">
        <f t="shared" si="158"/>
        <v>1</v>
      </c>
      <c r="AA594">
        <f t="shared" si="158"/>
        <v>1</v>
      </c>
      <c r="AB594">
        <f t="shared" si="158"/>
        <v>1</v>
      </c>
      <c r="AC594">
        <f t="shared" si="158"/>
        <v>1</v>
      </c>
      <c r="AD594">
        <f t="shared" si="158"/>
        <v>1</v>
      </c>
      <c r="AE594">
        <f t="shared" si="158"/>
        <v>1</v>
      </c>
      <c r="AF594">
        <f t="shared" si="158"/>
        <v>1</v>
      </c>
      <c r="AG594">
        <f t="shared" si="158"/>
        <v>1</v>
      </c>
      <c r="AH594">
        <f t="shared" si="158"/>
        <v>1</v>
      </c>
      <c r="AI594">
        <f t="shared" si="158"/>
        <v>1</v>
      </c>
      <c r="AJ594">
        <f t="shared" si="158"/>
        <v>1</v>
      </c>
      <c r="AK594">
        <f t="shared" si="158"/>
        <v>1</v>
      </c>
      <c r="AL594">
        <f t="shared" si="158"/>
        <v>1</v>
      </c>
      <c r="AM594">
        <f t="shared" si="158"/>
        <v>1</v>
      </c>
      <c r="AN594">
        <f t="shared" si="158"/>
        <v>1</v>
      </c>
      <c r="AO594">
        <f t="shared" si="158"/>
        <v>1</v>
      </c>
      <c r="AP594">
        <f t="shared" si="158"/>
        <v>1</v>
      </c>
      <c r="AQ594">
        <f t="shared" si="158"/>
        <v>1</v>
      </c>
      <c r="AR594">
        <f t="shared" si="158"/>
        <v>1</v>
      </c>
      <c r="AS594">
        <f t="shared" si="158"/>
        <v>1</v>
      </c>
      <c r="AT594">
        <f t="shared" si="158"/>
        <v>1</v>
      </c>
      <c r="AU594">
        <f t="shared" si="158"/>
        <v>1</v>
      </c>
      <c r="AV594">
        <f t="shared" si="158"/>
        <v>1</v>
      </c>
      <c r="AW594">
        <f t="shared" si="158"/>
        <v>1</v>
      </c>
      <c r="AX594">
        <f t="shared" si="158"/>
        <v>1</v>
      </c>
      <c r="AY594">
        <f t="shared" si="158"/>
        <v>1</v>
      </c>
      <c r="AZ594">
        <f t="shared" si="158"/>
        <v>1</v>
      </c>
      <c r="BA594">
        <f t="shared" si="158"/>
        <v>1</v>
      </c>
      <c r="BB594">
        <f t="shared" si="158"/>
        <v>1</v>
      </c>
      <c r="BC594">
        <f t="shared" ref="BC594:BV594" si="159">IF(BC$588&lt;$J594,0,IF(BC$588&gt;($J594+$K594),1,1/($K594+1)+BB594))</f>
        <v>1</v>
      </c>
      <c r="BD594">
        <f t="shared" si="159"/>
        <v>1</v>
      </c>
      <c r="BE594">
        <f t="shared" si="159"/>
        <v>1</v>
      </c>
      <c r="BF594">
        <f t="shared" si="159"/>
        <v>1</v>
      </c>
      <c r="BG594">
        <f t="shared" si="159"/>
        <v>1</v>
      </c>
      <c r="BH594">
        <f t="shared" si="159"/>
        <v>1</v>
      </c>
      <c r="BI594">
        <f t="shared" si="159"/>
        <v>1</v>
      </c>
      <c r="BJ594">
        <f t="shared" si="159"/>
        <v>1</v>
      </c>
      <c r="BK594">
        <f t="shared" si="159"/>
        <v>1</v>
      </c>
      <c r="BL594">
        <f t="shared" si="159"/>
        <v>1</v>
      </c>
      <c r="BM594">
        <f t="shared" si="159"/>
        <v>1</v>
      </c>
      <c r="BN594">
        <f t="shared" si="159"/>
        <v>1</v>
      </c>
      <c r="BO594">
        <f t="shared" si="159"/>
        <v>1</v>
      </c>
      <c r="BP594">
        <f t="shared" si="159"/>
        <v>1</v>
      </c>
      <c r="BQ594">
        <f t="shared" si="159"/>
        <v>1</v>
      </c>
      <c r="BR594">
        <f t="shared" si="159"/>
        <v>1</v>
      </c>
      <c r="BS594">
        <f t="shared" si="159"/>
        <v>1</v>
      </c>
      <c r="BT594">
        <f t="shared" si="159"/>
        <v>1</v>
      </c>
      <c r="BU594">
        <f t="shared" si="159"/>
        <v>1</v>
      </c>
      <c r="BV594">
        <f t="shared" si="159"/>
        <v>1</v>
      </c>
    </row>
    <row r="595" spans="1:74" hidden="1" outlineLevel="1">
      <c r="A595" s="22" t="s">
        <v>244</v>
      </c>
      <c r="B595" s="55" t="str">
        <f>'Proactive preventative'!E10</f>
        <v>No</v>
      </c>
      <c r="C595" s="38">
        <f>F381*IF($B595="Yes",1,0)</f>
        <v>0</v>
      </c>
      <c r="D595" s="38">
        <f>L381*IF($B595="Yes",1,0)</f>
        <v>0</v>
      </c>
      <c r="E595" s="44">
        <f>SUM(D354:D356)*IF($B595="Yes",1,0)</f>
        <v>0</v>
      </c>
      <c r="F595" s="30">
        <f>(SUMIF($B$376:$B$381,"General practitioner",$E$376:$E$381)+SUMIF($B$376:$B$381,"Nurse practitioner",$E$376:$E$381))*IF($B595="Yes",1,0)</f>
        <v>0</v>
      </c>
      <c r="G595" s="30">
        <f>SUMIF($B$376:$B$381,"Nurse",$E$376:$E$381)*IF($B595="Yes",1,0)</f>
        <v>0</v>
      </c>
      <c r="H595" s="194">
        <f>(E381-SUM(F595:G595))*IF($B595="Yes",1,0)</f>
        <v>0</v>
      </c>
      <c r="I595" s="194"/>
      <c r="J595">
        <f>Results!C85</f>
        <v>0</v>
      </c>
      <c r="K595">
        <f>Results!D85</f>
        <v>0</v>
      </c>
      <c r="L595">
        <f>SUM(W595:AH595)/12</f>
        <v>1</v>
      </c>
      <c r="M595">
        <f>SUM(AI595:AT595)/12</f>
        <v>1</v>
      </c>
      <c r="N595">
        <f>SUM(AU595:BF595)/12</f>
        <v>1</v>
      </c>
      <c r="O595">
        <f>SUM(BG595:BR595)/12</f>
        <v>1</v>
      </c>
      <c r="P595">
        <f>SUM(BK595:BV595)/12</f>
        <v>1</v>
      </c>
      <c r="Q595" s="38">
        <f t="shared" si="145"/>
        <v>0</v>
      </c>
      <c r="R595" s="38">
        <f t="shared" si="146"/>
        <v>0</v>
      </c>
      <c r="S595" s="38">
        <f t="shared" si="147"/>
        <v>0</v>
      </c>
      <c r="T595" s="38">
        <f t="shared" si="148"/>
        <v>0</v>
      </c>
      <c r="U595" s="38">
        <f t="shared" si="149"/>
        <v>0</v>
      </c>
      <c r="W595">
        <f t="shared" ref="W595:BB595" si="160">IF(W$588&lt;$J595,0,IF(W$588&gt;($J595+$K595),1,1/($K595+1)+V595))</f>
        <v>1</v>
      </c>
      <c r="X595">
        <f t="shared" si="160"/>
        <v>1</v>
      </c>
      <c r="Y595">
        <f t="shared" si="160"/>
        <v>1</v>
      </c>
      <c r="Z595">
        <f t="shared" si="160"/>
        <v>1</v>
      </c>
      <c r="AA595">
        <f t="shared" si="160"/>
        <v>1</v>
      </c>
      <c r="AB595">
        <f t="shared" si="160"/>
        <v>1</v>
      </c>
      <c r="AC595">
        <f t="shared" si="160"/>
        <v>1</v>
      </c>
      <c r="AD595">
        <f t="shared" si="160"/>
        <v>1</v>
      </c>
      <c r="AE595">
        <f t="shared" si="160"/>
        <v>1</v>
      </c>
      <c r="AF595">
        <f t="shared" si="160"/>
        <v>1</v>
      </c>
      <c r="AG595">
        <f t="shared" si="160"/>
        <v>1</v>
      </c>
      <c r="AH595">
        <f t="shared" si="160"/>
        <v>1</v>
      </c>
      <c r="AI595">
        <f t="shared" si="160"/>
        <v>1</v>
      </c>
      <c r="AJ595">
        <f t="shared" si="160"/>
        <v>1</v>
      </c>
      <c r="AK595">
        <f t="shared" si="160"/>
        <v>1</v>
      </c>
      <c r="AL595">
        <f t="shared" si="160"/>
        <v>1</v>
      </c>
      <c r="AM595">
        <f t="shared" si="160"/>
        <v>1</v>
      </c>
      <c r="AN595">
        <f t="shared" si="160"/>
        <v>1</v>
      </c>
      <c r="AO595">
        <f t="shared" si="160"/>
        <v>1</v>
      </c>
      <c r="AP595">
        <f t="shared" si="160"/>
        <v>1</v>
      </c>
      <c r="AQ595">
        <f t="shared" si="160"/>
        <v>1</v>
      </c>
      <c r="AR595">
        <f t="shared" si="160"/>
        <v>1</v>
      </c>
      <c r="AS595">
        <f t="shared" si="160"/>
        <v>1</v>
      </c>
      <c r="AT595">
        <f t="shared" si="160"/>
        <v>1</v>
      </c>
      <c r="AU595">
        <f t="shared" si="160"/>
        <v>1</v>
      </c>
      <c r="AV595">
        <f t="shared" si="160"/>
        <v>1</v>
      </c>
      <c r="AW595">
        <f t="shared" si="160"/>
        <v>1</v>
      </c>
      <c r="AX595">
        <f t="shared" si="160"/>
        <v>1</v>
      </c>
      <c r="AY595">
        <f t="shared" si="160"/>
        <v>1</v>
      </c>
      <c r="AZ595">
        <f t="shared" si="160"/>
        <v>1</v>
      </c>
      <c r="BA595">
        <f t="shared" si="160"/>
        <v>1</v>
      </c>
      <c r="BB595">
        <f t="shared" si="160"/>
        <v>1</v>
      </c>
      <c r="BC595">
        <f t="shared" ref="BC595:BV595" si="161">IF(BC$588&lt;$J595,0,IF(BC$588&gt;($J595+$K595),1,1/($K595+1)+BB595))</f>
        <v>1</v>
      </c>
      <c r="BD595">
        <f t="shared" si="161"/>
        <v>1</v>
      </c>
      <c r="BE595">
        <f t="shared" si="161"/>
        <v>1</v>
      </c>
      <c r="BF595">
        <f t="shared" si="161"/>
        <v>1</v>
      </c>
      <c r="BG595">
        <f t="shared" si="161"/>
        <v>1</v>
      </c>
      <c r="BH595">
        <f t="shared" si="161"/>
        <v>1</v>
      </c>
      <c r="BI595">
        <f t="shared" si="161"/>
        <v>1</v>
      </c>
      <c r="BJ595">
        <f t="shared" si="161"/>
        <v>1</v>
      </c>
      <c r="BK595">
        <f t="shared" si="161"/>
        <v>1</v>
      </c>
      <c r="BL595">
        <f t="shared" si="161"/>
        <v>1</v>
      </c>
      <c r="BM595">
        <f t="shared" si="161"/>
        <v>1</v>
      </c>
      <c r="BN595">
        <f t="shared" si="161"/>
        <v>1</v>
      </c>
      <c r="BO595">
        <f t="shared" si="161"/>
        <v>1</v>
      </c>
      <c r="BP595">
        <f t="shared" si="161"/>
        <v>1</v>
      </c>
      <c r="BQ595">
        <f t="shared" si="161"/>
        <v>1</v>
      </c>
      <c r="BR595">
        <f t="shared" si="161"/>
        <v>1</v>
      </c>
      <c r="BS595">
        <f t="shared" si="161"/>
        <v>1</v>
      </c>
      <c r="BT595">
        <f t="shared" si="161"/>
        <v>1</v>
      </c>
      <c r="BU595">
        <f t="shared" si="161"/>
        <v>1</v>
      </c>
      <c r="BV595">
        <f t="shared" si="161"/>
        <v>1</v>
      </c>
    </row>
    <row r="596" spans="1:74" hidden="1" outlineLevel="1">
      <c r="A596" s="22" t="s">
        <v>102</v>
      </c>
      <c r="B596" s="55" t="str">
        <f>'Proactive preventative'!E11</f>
        <v>No</v>
      </c>
      <c r="C596" s="38">
        <f>H423*IF($B596="Yes",1,0)</f>
        <v>0</v>
      </c>
      <c r="D596" s="38">
        <f>L423*IF($B596="Yes",1,0)</f>
        <v>0</v>
      </c>
      <c r="E596" s="44">
        <f>SUM(D404:D406)*IF($B596="Yes",1,0)</f>
        <v>0</v>
      </c>
      <c r="F596" s="30">
        <f>(SUMIF(B$417:$B$423,"General practitioner",$E$417:$E$423)+SUMIF($B$417:$B$423,"Nurse practitioner",$E$417:$E$423))*IF($B596="Yes",1,0)</f>
        <v>0</v>
      </c>
      <c r="G596" s="30">
        <f>SUMIF($B$417:$B$423,"Nurse",$E$417:$E$423)*IF($B596="Yes",1,0)</f>
        <v>0</v>
      </c>
      <c r="H596" s="194">
        <f>(E423-SUM(F596:G596))*IF($B596="Yes",1,0)</f>
        <v>0</v>
      </c>
      <c r="I596" s="194"/>
      <c r="J596">
        <f>Results!C86</f>
        <v>0</v>
      </c>
      <c r="K596">
        <f>Results!D86</f>
        <v>0</v>
      </c>
      <c r="L596">
        <f>SUM(W596:AH596)/12</f>
        <v>1</v>
      </c>
      <c r="M596">
        <f>SUM(AI596:AT596)/12</f>
        <v>1</v>
      </c>
      <c r="N596">
        <f>SUM(AU596:BF596)/12</f>
        <v>1</v>
      </c>
      <c r="O596">
        <f>SUM(BG596:BR596)/12</f>
        <v>1</v>
      </c>
      <c r="P596">
        <f>SUM(BK596:BV596)/12</f>
        <v>1</v>
      </c>
      <c r="Q596" s="38">
        <f t="shared" si="145"/>
        <v>0</v>
      </c>
      <c r="R596" s="38">
        <f t="shared" si="146"/>
        <v>0</v>
      </c>
      <c r="S596" s="38">
        <f t="shared" si="147"/>
        <v>0</v>
      </c>
      <c r="T596" s="38">
        <f t="shared" si="148"/>
        <v>0</v>
      </c>
      <c r="U596" s="38">
        <f t="shared" si="149"/>
        <v>0</v>
      </c>
      <c r="W596">
        <f t="shared" ref="W596:BB596" si="162">IF(W$588&lt;$J596,0,IF(W$588&gt;($J596+$K596),1,1/($K596+1)+V596))</f>
        <v>1</v>
      </c>
      <c r="X596">
        <f t="shared" si="162"/>
        <v>1</v>
      </c>
      <c r="Y596">
        <f t="shared" si="162"/>
        <v>1</v>
      </c>
      <c r="Z596">
        <f t="shared" si="162"/>
        <v>1</v>
      </c>
      <c r="AA596">
        <f t="shared" si="162"/>
        <v>1</v>
      </c>
      <c r="AB596">
        <f t="shared" si="162"/>
        <v>1</v>
      </c>
      <c r="AC596">
        <f t="shared" si="162"/>
        <v>1</v>
      </c>
      <c r="AD596">
        <f t="shared" si="162"/>
        <v>1</v>
      </c>
      <c r="AE596">
        <f t="shared" si="162"/>
        <v>1</v>
      </c>
      <c r="AF596">
        <f t="shared" si="162"/>
        <v>1</v>
      </c>
      <c r="AG596">
        <f t="shared" si="162"/>
        <v>1</v>
      </c>
      <c r="AH596">
        <f t="shared" si="162"/>
        <v>1</v>
      </c>
      <c r="AI596">
        <f t="shared" si="162"/>
        <v>1</v>
      </c>
      <c r="AJ596">
        <f t="shared" si="162"/>
        <v>1</v>
      </c>
      <c r="AK596">
        <f t="shared" si="162"/>
        <v>1</v>
      </c>
      <c r="AL596">
        <f t="shared" si="162"/>
        <v>1</v>
      </c>
      <c r="AM596">
        <f t="shared" si="162"/>
        <v>1</v>
      </c>
      <c r="AN596">
        <f t="shared" si="162"/>
        <v>1</v>
      </c>
      <c r="AO596">
        <f t="shared" si="162"/>
        <v>1</v>
      </c>
      <c r="AP596">
        <f t="shared" si="162"/>
        <v>1</v>
      </c>
      <c r="AQ596">
        <f t="shared" si="162"/>
        <v>1</v>
      </c>
      <c r="AR596">
        <f t="shared" si="162"/>
        <v>1</v>
      </c>
      <c r="AS596">
        <f t="shared" si="162"/>
        <v>1</v>
      </c>
      <c r="AT596">
        <f t="shared" si="162"/>
        <v>1</v>
      </c>
      <c r="AU596">
        <f t="shared" si="162"/>
        <v>1</v>
      </c>
      <c r="AV596">
        <f t="shared" si="162"/>
        <v>1</v>
      </c>
      <c r="AW596">
        <f t="shared" si="162"/>
        <v>1</v>
      </c>
      <c r="AX596">
        <f t="shared" si="162"/>
        <v>1</v>
      </c>
      <c r="AY596">
        <f t="shared" si="162"/>
        <v>1</v>
      </c>
      <c r="AZ596">
        <f t="shared" si="162"/>
        <v>1</v>
      </c>
      <c r="BA596">
        <f t="shared" si="162"/>
        <v>1</v>
      </c>
      <c r="BB596">
        <f t="shared" si="162"/>
        <v>1</v>
      </c>
      <c r="BC596">
        <f t="shared" ref="BC596:BV596" si="163">IF(BC$588&lt;$J596,0,IF(BC$588&gt;($J596+$K596),1,1/($K596+1)+BB596))</f>
        <v>1</v>
      </c>
      <c r="BD596">
        <f t="shared" si="163"/>
        <v>1</v>
      </c>
      <c r="BE596">
        <f t="shared" si="163"/>
        <v>1</v>
      </c>
      <c r="BF596">
        <f t="shared" si="163"/>
        <v>1</v>
      </c>
      <c r="BG596">
        <f t="shared" si="163"/>
        <v>1</v>
      </c>
      <c r="BH596">
        <f t="shared" si="163"/>
        <v>1</v>
      </c>
      <c r="BI596">
        <f t="shared" si="163"/>
        <v>1</v>
      </c>
      <c r="BJ596">
        <f t="shared" si="163"/>
        <v>1</v>
      </c>
      <c r="BK596">
        <f t="shared" si="163"/>
        <v>1</v>
      </c>
      <c r="BL596">
        <f t="shared" si="163"/>
        <v>1</v>
      </c>
      <c r="BM596">
        <f t="shared" si="163"/>
        <v>1</v>
      </c>
      <c r="BN596">
        <f t="shared" si="163"/>
        <v>1</v>
      </c>
      <c r="BO596">
        <f t="shared" si="163"/>
        <v>1</v>
      </c>
      <c r="BP596">
        <f t="shared" si="163"/>
        <v>1</v>
      </c>
      <c r="BQ596">
        <f t="shared" si="163"/>
        <v>1</v>
      </c>
      <c r="BR596">
        <f t="shared" si="163"/>
        <v>1</v>
      </c>
      <c r="BS596">
        <f t="shared" si="163"/>
        <v>1</v>
      </c>
      <c r="BT596">
        <f t="shared" si="163"/>
        <v>1</v>
      </c>
      <c r="BU596">
        <f t="shared" si="163"/>
        <v>1</v>
      </c>
      <c r="BV596">
        <f t="shared" si="163"/>
        <v>1</v>
      </c>
    </row>
    <row r="597" spans="1:74" hidden="1" outlineLevel="1">
      <c r="A597" t="s">
        <v>145</v>
      </c>
      <c r="F597" s="194"/>
      <c r="G597" s="194"/>
      <c r="H597" s="194"/>
      <c r="I597" s="194"/>
      <c r="J597">
        <f>Results!C87</f>
        <v>0</v>
      </c>
      <c r="K597">
        <f>Results!D87</f>
        <v>0</v>
      </c>
      <c r="Q597" s="38">
        <f t="shared" si="145"/>
        <v>0</v>
      </c>
      <c r="R597" s="38">
        <f t="shared" si="146"/>
        <v>0</v>
      </c>
      <c r="S597" s="38">
        <f t="shared" si="147"/>
        <v>0</v>
      </c>
      <c r="T597" s="38">
        <f t="shared" si="148"/>
        <v>0</v>
      </c>
      <c r="U597" s="38">
        <f t="shared" si="149"/>
        <v>0</v>
      </c>
      <c r="W597">
        <f t="shared" ref="W597:BB597" si="164">IF(W$588&lt;$J597,0,IF(W$588&gt;($J597+$K597),1,1/($K597+1)+V597))</f>
        <v>1</v>
      </c>
      <c r="X597">
        <f t="shared" si="164"/>
        <v>1</v>
      </c>
      <c r="Y597">
        <f t="shared" si="164"/>
        <v>1</v>
      </c>
      <c r="Z597">
        <f t="shared" si="164"/>
        <v>1</v>
      </c>
      <c r="AA597">
        <f t="shared" si="164"/>
        <v>1</v>
      </c>
      <c r="AB597">
        <f t="shared" si="164"/>
        <v>1</v>
      </c>
      <c r="AC597">
        <f t="shared" si="164"/>
        <v>1</v>
      </c>
      <c r="AD597">
        <f t="shared" si="164"/>
        <v>1</v>
      </c>
      <c r="AE597">
        <f t="shared" si="164"/>
        <v>1</v>
      </c>
      <c r="AF597">
        <f t="shared" si="164"/>
        <v>1</v>
      </c>
      <c r="AG597">
        <f t="shared" si="164"/>
        <v>1</v>
      </c>
      <c r="AH597">
        <f t="shared" si="164"/>
        <v>1</v>
      </c>
      <c r="AI597">
        <f t="shared" si="164"/>
        <v>1</v>
      </c>
      <c r="AJ597">
        <f t="shared" si="164"/>
        <v>1</v>
      </c>
      <c r="AK597">
        <f t="shared" si="164"/>
        <v>1</v>
      </c>
      <c r="AL597">
        <f t="shared" si="164"/>
        <v>1</v>
      </c>
      <c r="AM597">
        <f t="shared" si="164"/>
        <v>1</v>
      </c>
      <c r="AN597">
        <f t="shared" si="164"/>
        <v>1</v>
      </c>
      <c r="AO597">
        <f t="shared" si="164"/>
        <v>1</v>
      </c>
      <c r="AP597">
        <f t="shared" si="164"/>
        <v>1</v>
      </c>
      <c r="AQ597">
        <f t="shared" si="164"/>
        <v>1</v>
      </c>
      <c r="AR597">
        <f t="shared" si="164"/>
        <v>1</v>
      </c>
      <c r="AS597">
        <f t="shared" si="164"/>
        <v>1</v>
      </c>
      <c r="AT597">
        <f t="shared" si="164"/>
        <v>1</v>
      </c>
      <c r="AU597">
        <f t="shared" si="164"/>
        <v>1</v>
      </c>
      <c r="AV597">
        <f t="shared" si="164"/>
        <v>1</v>
      </c>
      <c r="AW597">
        <f t="shared" si="164"/>
        <v>1</v>
      </c>
      <c r="AX597">
        <f t="shared" si="164"/>
        <v>1</v>
      </c>
      <c r="AY597">
        <f t="shared" si="164"/>
        <v>1</v>
      </c>
      <c r="AZ597">
        <f t="shared" si="164"/>
        <v>1</v>
      </c>
      <c r="BA597">
        <f t="shared" si="164"/>
        <v>1</v>
      </c>
      <c r="BB597">
        <f t="shared" si="164"/>
        <v>1</v>
      </c>
      <c r="BC597">
        <f t="shared" ref="BC597:BV597" si="165">IF(BC$588&lt;$J597,0,IF(BC$588&gt;($J597+$K597),1,1/($K597+1)+BB597))</f>
        <v>1</v>
      </c>
      <c r="BD597">
        <f t="shared" si="165"/>
        <v>1</v>
      </c>
      <c r="BE597">
        <f t="shared" si="165"/>
        <v>1</v>
      </c>
      <c r="BF597">
        <f t="shared" si="165"/>
        <v>1</v>
      </c>
      <c r="BG597">
        <f t="shared" si="165"/>
        <v>1</v>
      </c>
      <c r="BH597">
        <f t="shared" si="165"/>
        <v>1</v>
      </c>
      <c r="BI597">
        <f t="shared" si="165"/>
        <v>1</v>
      </c>
      <c r="BJ597">
        <f t="shared" si="165"/>
        <v>1</v>
      </c>
      <c r="BK597">
        <f t="shared" si="165"/>
        <v>1</v>
      </c>
      <c r="BL597">
        <f t="shared" si="165"/>
        <v>1</v>
      </c>
      <c r="BM597">
        <f t="shared" si="165"/>
        <v>1</v>
      </c>
      <c r="BN597">
        <f t="shared" si="165"/>
        <v>1</v>
      </c>
      <c r="BO597">
        <f t="shared" si="165"/>
        <v>1</v>
      </c>
      <c r="BP597">
        <f t="shared" si="165"/>
        <v>1</v>
      </c>
      <c r="BQ597">
        <f t="shared" si="165"/>
        <v>1</v>
      </c>
      <c r="BR597">
        <f t="shared" si="165"/>
        <v>1</v>
      </c>
      <c r="BS597">
        <f t="shared" si="165"/>
        <v>1</v>
      </c>
      <c r="BT597">
        <f t="shared" si="165"/>
        <v>1</v>
      </c>
      <c r="BU597">
        <f t="shared" si="165"/>
        <v>1</v>
      </c>
      <c r="BV597">
        <f t="shared" si="165"/>
        <v>1</v>
      </c>
    </row>
    <row r="598" spans="1:74" hidden="1" outlineLevel="1">
      <c r="A598" s="22" t="s">
        <v>245</v>
      </c>
      <c r="B598" s="55" t="str">
        <f>'Business efficiency'!E8</f>
        <v>No</v>
      </c>
      <c r="C598" s="38">
        <f>F454*IF($B598="Yes",1,0)</f>
        <v>0</v>
      </c>
      <c r="D598" s="38">
        <f>L454*IF($B598="Yes",1,0)</f>
        <v>0</v>
      </c>
      <c r="E598" s="44">
        <f>SUM(D438:D440)*IF($B598="Yes",1,0)</f>
        <v>0</v>
      </c>
      <c r="H598" s="194"/>
      <c r="I598" s="194"/>
      <c r="J598">
        <f>Results!C88</f>
        <v>0</v>
      </c>
      <c r="K598">
        <f>Results!D88</f>
        <v>0</v>
      </c>
      <c r="L598">
        <f>SUM(W598:AH598)/12</f>
        <v>1</v>
      </c>
      <c r="M598">
        <f>SUM(AI598:AT598)/12</f>
        <v>1</v>
      </c>
      <c r="N598">
        <f>SUM(AU598:BF598)/12</f>
        <v>1</v>
      </c>
      <c r="O598">
        <f>SUM(BG598:BR598)/12</f>
        <v>1</v>
      </c>
      <c r="P598">
        <f>SUM(BK598:BV598)/12</f>
        <v>1</v>
      </c>
      <c r="Q598" s="38">
        <f t="shared" si="145"/>
        <v>0</v>
      </c>
      <c r="R598" s="38">
        <f t="shared" si="146"/>
        <v>0</v>
      </c>
      <c r="S598" s="38">
        <f t="shared" si="147"/>
        <v>0</v>
      </c>
      <c r="T598" s="38">
        <f t="shared" si="148"/>
        <v>0</v>
      </c>
      <c r="U598" s="38">
        <f t="shared" si="149"/>
        <v>0</v>
      </c>
      <c r="W598">
        <f t="shared" ref="W598:BB598" si="166">IF(W$588&lt;$J598,0,IF(W$588&gt;($J598+$K598),1,1/($K598+1)+V598))</f>
        <v>1</v>
      </c>
      <c r="X598">
        <f t="shared" si="166"/>
        <v>1</v>
      </c>
      <c r="Y598">
        <f t="shared" si="166"/>
        <v>1</v>
      </c>
      <c r="Z598">
        <f t="shared" si="166"/>
        <v>1</v>
      </c>
      <c r="AA598">
        <f t="shared" si="166"/>
        <v>1</v>
      </c>
      <c r="AB598">
        <f t="shared" si="166"/>
        <v>1</v>
      </c>
      <c r="AC598">
        <f t="shared" si="166"/>
        <v>1</v>
      </c>
      <c r="AD598">
        <f t="shared" si="166"/>
        <v>1</v>
      </c>
      <c r="AE598">
        <f t="shared" si="166"/>
        <v>1</v>
      </c>
      <c r="AF598">
        <f t="shared" si="166"/>
        <v>1</v>
      </c>
      <c r="AG598">
        <f t="shared" si="166"/>
        <v>1</v>
      </c>
      <c r="AH598">
        <f t="shared" si="166"/>
        <v>1</v>
      </c>
      <c r="AI598">
        <f t="shared" si="166"/>
        <v>1</v>
      </c>
      <c r="AJ598">
        <f t="shared" si="166"/>
        <v>1</v>
      </c>
      <c r="AK598">
        <f t="shared" si="166"/>
        <v>1</v>
      </c>
      <c r="AL598">
        <f t="shared" si="166"/>
        <v>1</v>
      </c>
      <c r="AM598">
        <f t="shared" si="166"/>
        <v>1</v>
      </c>
      <c r="AN598">
        <f t="shared" si="166"/>
        <v>1</v>
      </c>
      <c r="AO598">
        <f t="shared" si="166"/>
        <v>1</v>
      </c>
      <c r="AP598">
        <f t="shared" si="166"/>
        <v>1</v>
      </c>
      <c r="AQ598">
        <f t="shared" si="166"/>
        <v>1</v>
      </c>
      <c r="AR598">
        <f t="shared" si="166"/>
        <v>1</v>
      </c>
      <c r="AS598">
        <f t="shared" si="166"/>
        <v>1</v>
      </c>
      <c r="AT598">
        <f t="shared" si="166"/>
        <v>1</v>
      </c>
      <c r="AU598">
        <f t="shared" si="166"/>
        <v>1</v>
      </c>
      <c r="AV598">
        <f t="shared" si="166"/>
        <v>1</v>
      </c>
      <c r="AW598">
        <f t="shared" si="166"/>
        <v>1</v>
      </c>
      <c r="AX598">
        <f t="shared" si="166"/>
        <v>1</v>
      </c>
      <c r="AY598">
        <f t="shared" si="166"/>
        <v>1</v>
      </c>
      <c r="AZ598">
        <f t="shared" si="166"/>
        <v>1</v>
      </c>
      <c r="BA598">
        <f t="shared" si="166"/>
        <v>1</v>
      </c>
      <c r="BB598">
        <f t="shared" si="166"/>
        <v>1</v>
      </c>
      <c r="BC598">
        <f t="shared" ref="BC598:BV598" si="167">IF(BC$588&lt;$J598,0,IF(BC$588&gt;($J598+$K598),1,1/($K598+1)+BB598))</f>
        <v>1</v>
      </c>
      <c r="BD598">
        <f t="shared" si="167"/>
        <v>1</v>
      </c>
      <c r="BE598">
        <f t="shared" si="167"/>
        <v>1</v>
      </c>
      <c r="BF598">
        <f t="shared" si="167"/>
        <v>1</v>
      </c>
      <c r="BG598">
        <f t="shared" si="167"/>
        <v>1</v>
      </c>
      <c r="BH598">
        <f t="shared" si="167"/>
        <v>1</v>
      </c>
      <c r="BI598">
        <f t="shared" si="167"/>
        <v>1</v>
      </c>
      <c r="BJ598">
        <f t="shared" si="167"/>
        <v>1</v>
      </c>
      <c r="BK598">
        <f t="shared" si="167"/>
        <v>1</v>
      </c>
      <c r="BL598">
        <f t="shared" si="167"/>
        <v>1</v>
      </c>
      <c r="BM598">
        <f t="shared" si="167"/>
        <v>1</v>
      </c>
      <c r="BN598">
        <f t="shared" si="167"/>
        <v>1</v>
      </c>
      <c r="BO598">
        <f t="shared" si="167"/>
        <v>1</v>
      </c>
      <c r="BP598">
        <f t="shared" si="167"/>
        <v>1</v>
      </c>
      <c r="BQ598">
        <f t="shared" si="167"/>
        <v>1</v>
      </c>
      <c r="BR598">
        <f t="shared" si="167"/>
        <v>1</v>
      </c>
      <c r="BS598">
        <f t="shared" si="167"/>
        <v>1</v>
      </c>
      <c r="BT598">
        <f t="shared" si="167"/>
        <v>1</v>
      </c>
      <c r="BU598">
        <f t="shared" si="167"/>
        <v>1</v>
      </c>
      <c r="BV598">
        <f t="shared" si="167"/>
        <v>1</v>
      </c>
    </row>
    <row r="599" spans="1:74" hidden="1" outlineLevel="1">
      <c r="A599" s="22" t="s">
        <v>246</v>
      </c>
      <c r="B599" s="55" t="str">
        <f>IF('Business efficiency'!G25="Yes","No",'Business efficiency'!E9)</f>
        <v>No</v>
      </c>
      <c r="C599" s="38">
        <f>H503*IF($B599="Yes",1,0)</f>
        <v>0</v>
      </c>
      <c r="D599" s="38">
        <f>L503*IF($B599="Yes",1,0)</f>
        <v>0</v>
      </c>
      <c r="E599" s="44">
        <f>SUM(D469:D471)*IF($B599="Yes",1,0)</f>
        <v>0</v>
      </c>
      <c r="F599" s="30">
        <f>(SUMIF($B$481:$B$503,"General practitioner",$E$481:$E$503)+SUMIF($B$481:$B$503,"Nurse practitioner",$E$481:$E$503))*IF($B599="Yes",1,0)</f>
        <v>0</v>
      </c>
      <c r="G599" s="30">
        <f>SUMIF($B$481:$B$503,"Nurse",$E$481:$E$503)*IF($B599="Yes",1,0)</f>
        <v>0</v>
      </c>
      <c r="H599" s="194">
        <f>(E503-SUM(F599:G599))*IF($B599="Yes",1,0)</f>
        <v>0</v>
      </c>
      <c r="I599" s="194"/>
      <c r="J599">
        <f>Results!C89</f>
        <v>0</v>
      </c>
      <c r="K599">
        <f>Results!D89</f>
        <v>0</v>
      </c>
      <c r="L599">
        <f>SUM(W599:AH599)/12</f>
        <v>1</v>
      </c>
      <c r="M599">
        <f>SUM(AI599:AT599)/12</f>
        <v>1</v>
      </c>
      <c r="N599">
        <f>SUM(AU599:BF599)/12</f>
        <v>1</v>
      </c>
      <c r="O599">
        <f>SUM(BG599:BR599)/12</f>
        <v>1</v>
      </c>
      <c r="P599">
        <f>SUM(BK599:BV599)/12</f>
        <v>1</v>
      </c>
      <c r="Q599" s="38">
        <f t="shared" si="145"/>
        <v>0</v>
      </c>
      <c r="R599" s="38">
        <f t="shared" si="146"/>
        <v>0</v>
      </c>
      <c r="S599" s="38">
        <f t="shared" si="147"/>
        <v>0</v>
      </c>
      <c r="T599" s="38">
        <f t="shared" si="148"/>
        <v>0</v>
      </c>
      <c r="U599" s="38">
        <f t="shared" si="149"/>
        <v>0</v>
      </c>
      <c r="W599">
        <f t="shared" ref="W599:BB599" si="168">IF(W$588&lt;$J599,0,IF(W$588&gt;($J599+$K599),1,1/($K599+1)+V599))</f>
        <v>1</v>
      </c>
      <c r="X599">
        <f t="shared" si="168"/>
        <v>1</v>
      </c>
      <c r="Y599">
        <f t="shared" si="168"/>
        <v>1</v>
      </c>
      <c r="Z599">
        <f t="shared" si="168"/>
        <v>1</v>
      </c>
      <c r="AA599">
        <f t="shared" si="168"/>
        <v>1</v>
      </c>
      <c r="AB599">
        <f t="shared" si="168"/>
        <v>1</v>
      </c>
      <c r="AC599">
        <f t="shared" si="168"/>
        <v>1</v>
      </c>
      <c r="AD599">
        <f t="shared" si="168"/>
        <v>1</v>
      </c>
      <c r="AE599">
        <f t="shared" si="168"/>
        <v>1</v>
      </c>
      <c r="AF599">
        <f t="shared" si="168"/>
        <v>1</v>
      </c>
      <c r="AG599">
        <f t="shared" si="168"/>
        <v>1</v>
      </c>
      <c r="AH599">
        <f t="shared" si="168"/>
        <v>1</v>
      </c>
      <c r="AI599">
        <f t="shared" si="168"/>
        <v>1</v>
      </c>
      <c r="AJ599">
        <f t="shared" si="168"/>
        <v>1</v>
      </c>
      <c r="AK599">
        <f t="shared" si="168"/>
        <v>1</v>
      </c>
      <c r="AL599">
        <f t="shared" si="168"/>
        <v>1</v>
      </c>
      <c r="AM599">
        <f t="shared" si="168"/>
        <v>1</v>
      </c>
      <c r="AN599">
        <f t="shared" si="168"/>
        <v>1</v>
      </c>
      <c r="AO599">
        <f t="shared" si="168"/>
        <v>1</v>
      </c>
      <c r="AP599">
        <f t="shared" si="168"/>
        <v>1</v>
      </c>
      <c r="AQ599">
        <f t="shared" si="168"/>
        <v>1</v>
      </c>
      <c r="AR599">
        <f t="shared" si="168"/>
        <v>1</v>
      </c>
      <c r="AS599">
        <f t="shared" si="168"/>
        <v>1</v>
      </c>
      <c r="AT599">
        <f t="shared" si="168"/>
        <v>1</v>
      </c>
      <c r="AU599">
        <f t="shared" si="168"/>
        <v>1</v>
      </c>
      <c r="AV599">
        <f t="shared" si="168"/>
        <v>1</v>
      </c>
      <c r="AW599">
        <f t="shared" si="168"/>
        <v>1</v>
      </c>
      <c r="AX599">
        <f t="shared" si="168"/>
        <v>1</v>
      </c>
      <c r="AY599">
        <f t="shared" si="168"/>
        <v>1</v>
      </c>
      <c r="AZ599">
        <f t="shared" si="168"/>
        <v>1</v>
      </c>
      <c r="BA599">
        <f t="shared" si="168"/>
        <v>1</v>
      </c>
      <c r="BB599">
        <f t="shared" si="168"/>
        <v>1</v>
      </c>
      <c r="BC599">
        <f t="shared" ref="BC599:BV599" si="169">IF(BC$588&lt;$J599,0,IF(BC$588&gt;($J599+$K599),1,1/($K599+1)+BB599))</f>
        <v>1</v>
      </c>
      <c r="BD599">
        <f t="shared" si="169"/>
        <v>1</v>
      </c>
      <c r="BE599">
        <f t="shared" si="169"/>
        <v>1</v>
      </c>
      <c r="BF599">
        <f t="shared" si="169"/>
        <v>1</v>
      </c>
      <c r="BG599">
        <f t="shared" si="169"/>
        <v>1</v>
      </c>
      <c r="BH599">
        <f t="shared" si="169"/>
        <v>1</v>
      </c>
      <c r="BI599">
        <f t="shared" si="169"/>
        <v>1</v>
      </c>
      <c r="BJ599">
        <f t="shared" si="169"/>
        <v>1</v>
      </c>
      <c r="BK599">
        <f t="shared" si="169"/>
        <v>1</v>
      </c>
      <c r="BL599">
        <f t="shared" si="169"/>
        <v>1</v>
      </c>
      <c r="BM599">
        <f t="shared" si="169"/>
        <v>1</v>
      </c>
      <c r="BN599">
        <f t="shared" si="169"/>
        <v>1</v>
      </c>
      <c r="BO599">
        <f t="shared" si="169"/>
        <v>1</v>
      </c>
      <c r="BP599">
        <f t="shared" si="169"/>
        <v>1</v>
      </c>
      <c r="BQ599">
        <f t="shared" si="169"/>
        <v>1</v>
      </c>
      <c r="BR599">
        <f t="shared" si="169"/>
        <v>1</v>
      </c>
      <c r="BS599">
        <f t="shared" si="169"/>
        <v>1</v>
      </c>
      <c r="BT599">
        <f t="shared" si="169"/>
        <v>1</v>
      </c>
      <c r="BU599">
        <f t="shared" si="169"/>
        <v>1</v>
      </c>
      <c r="BV599">
        <f t="shared" si="169"/>
        <v>1</v>
      </c>
    </row>
    <row r="600" spans="1:74" hidden="1" outlineLevel="1">
      <c r="A600" s="22" t="s">
        <v>247</v>
      </c>
      <c r="B600" s="55" t="str">
        <f>'Business efficiency'!E10</f>
        <v>No</v>
      </c>
      <c r="C600" s="38">
        <f>F581*IF($B600="Yes",1,0)</f>
        <v>0</v>
      </c>
      <c r="D600" s="38">
        <f>L581*IF($B600="Yes",1,0)</f>
        <v>0</v>
      </c>
      <c r="E600" s="44">
        <f>SUM(D556:D558)*IF($B600="Yes",1,0)</f>
        <v>0</v>
      </c>
      <c r="F600" s="30">
        <f>(SUMIF($B$569:$B$581,"General practitioner",$E$569:$E$581)+SUMIF($B$569:$B$581,"Nurse practitioner",$E$569:$E$581))*IF($B600="Yes",1,0)</f>
        <v>0</v>
      </c>
      <c r="G600" s="30">
        <f>SUMIF($B$569:$B$581,"Nurse",$E$569:$E$581)*IF($B600="Yes",1,0)</f>
        <v>0</v>
      </c>
      <c r="H600" s="194">
        <f>(E581-SUM(F600:G600))*IF($B600="Yes",1,0)</f>
        <v>0</v>
      </c>
      <c r="I600" s="194"/>
      <c r="J600">
        <f>Results!C91</f>
        <v>0</v>
      </c>
      <c r="K600">
        <f>Results!D91</f>
        <v>0</v>
      </c>
      <c r="L600">
        <f>SUM(W600:AH600)/12</f>
        <v>1</v>
      </c>
      <c r="M600">
        <f>SUM(AI600:AT600)/12</f>
        <v>1</v>
      </c>
      <c r="N600">
        <f>SUM(AU600:BF600)/12</f>
        <v>1</v>
      </c>
      <c r="O600">
        <f>SUM(BG600:BR600)/12</f>
        <v>1</v>
      </c>
      <c r="P600">
        <f>SUM(BK600:BV600)/12</f>
        <v>1</v>
      </c>
      <c r="Q600" s="38">
        <f t="shared" si="145"/>
        <v>0</v>
      </c>
      <c r="R600" s="38">
        <f t="shared" si="146"/>
        <v>0</v>
      </c>
      <c r="S600" s="38">
        <f t="shared" si="147"/>
        <v>0</v>
      </c>
      <c r="T600" s="38">
        <f t="shared" si="148"/>
        <v>0</v>
      </c>
      <c r="U600" s="38">
        <f t="shared" si="149"/>
        <v>0</v>
      </c>
      <c r="W600">
        <f t="shared" ref="W600:BB600" si="170">IF(W$588&lt;$J600,0,IF(W$588&gt;($J600+$K600),1,1/($K600+1)+V600))</f>
        <v>1</v>
      </c>
      <c r="X600">
        <f t="shared" si="170"/>
        <v>1</v>
      </c>
      <c r="Y600">
        <f t="shared" si="170"/>
        <v>1</v>
      </c>
      <c r="Z600">
        <f t="shared" si="170"/>
        <v>1</v>
      </c>
      <c r="AA600">
        <f t="shared" si="170"/>
        <v>1</v>
      </c>
      <c r="AB600">
        <f t="shared" si="170"/>
        <v>1</v>
      </c>
      <c r="AC600">
        <f t="shared" si="170"/>
        <v>1</v>
      </c>
      <c r="AD600">
        <f t="shared" si="170"/>
        <v>1</v>
      </c>
      <c r="AE600">
        <f t="shared" si="170"/>
        <v>1</v>
      </c>
      <c r="AF600">
        <f t="shared" si="170"/>
        <v>1</v>
      </c>
      <c r="AG600">
        <f t="shared" si="170"/>
        <v>1</v>
      </c>
      <c r="AH600">
        <f t="shared" si="170"/>
        <v>1</v>
      </c>
      <c r="AI600">
        <f t="shared" si="170"/>
        <v>1</v>
      </c>
      <c r="AJ600">
        <f t="shared" si="170"/>
        <v>1</v>
      </c>
      <c r="AK600">
        <f t="shared" si="170"/>
        <v>1</v>
      </c>
      <c r="AL600">
        <f t="shared" si="170"/>
        <v>1</v>
      </c>
      <c r="AM600">
        <f t="shared" si="170"/>
        <v>1</v>
      </c>
      <c r="AN600">
        <f t="shared" si="170"/>
        <v>1</v>
      </c>
      <c r="AO600">
        <f t="shared" si="170"/>
        <v>1</v>
      </c>
      <c r="AP600">
        <f t="shared" si="170"/>
        <v>1</v>
      </c>
      <c r="AQ600">
        <f t="shared" si="170"/>
        <v>1</v>
      </c>
      <c r="AR600">
        <f t="shared" si="170"/>
        <v>1</v>
      </c>
      <c r="AS600">
        <f t="shared" si="170"/>
        <v>1</v>
      </c>
      <c r="AT600">
        <f t="shared" si="170"/>
        <v>1</v>
      </c>
      <c r="AU600">
        <f t="shared" si="170"/>
        <v>1</v>
      </c>
      <c r="AV600">
        <f t="shared" si="170"/>
        <v>1</v>
      </c>
      <c r="AW600">
        <f t="shared" si="170"/>
        <v>1</v>
      </c>
      <c r="AX600">
        <f t="shared" si="170"/>
        <v>1</v>
      </c>
      <c r="AY600">
        <f t="shared" si="170"/>
        <v>1</v>
      </c>
      <c r="AZ600">
        <f t="shared" si="170"/>
        <v>1</v>
      </c>
      <c r="BA600">
        <f t="shared" si="170"/>
        <v>1</v>
      </c>
      <c r="BB600">
        <f t="shared" si="170"/>
        <v>1</v>
      </c>
      <c r="BC600">
        <f t="shared" ref="BC600:BV600" si="171">IF(BC$588&lt;$J600,0,IF(BC$588&gt;($J600+$K600),1,1/($K600+1)+BB600))</f>
        <v>1</v>
      </c>
      <c r="BD600">
        <f t="shared" si="171"/>
        <v>1</v>
      </c>
      <c r="BE600">
        <f t="shared" si="171"/>
        <v>1</v>
      </c>
      <c r="BF600">
        <f t="shared" si="171"/>
        <v>1</v>
      </c>
      <c r="BG600">
        <f t="shared" si="171"/>
        <v>1</v>
      </c>
      <c r="BH600">
        <f t="shared" si="171"/>
        <v>1</v>
      </c>
      <c r="BI600">
        <f t="shared" si="171"/>
        <v>1</v>
      </c>
      <c r="BJ600">
        <f t="shared" si="171"/>
        <v>1</v>
      </c>
      <c r="BK600">
        <f t="shared" si="171"/>
        <v>1</v>
      </c>
      <c r="BL600">
        <f t="shared" si="171"/>
        <v>1</v>
      </c>
      <c r="BM600">
        <f t="shared" si="171"/>
        <v>1</v>
      </c>
      <c r="BN600">
        <f t="shared" si="171"/>
        <v>1</v>
      </c>
      <c r="BO600">
        <f t="shared" si="171"/>
        <v>1</v>
      </c>
      <c r="BP600">
        <f t="shared" si="171"/>
        <v>1</v>
      </c>
      <c r="BQ600">
        <f t="shared" si="171"/>
        <v>1</v>
      </c>
      <c r="BR600">
        <f t="shared" si="171"/>
        <v>1</v>
      </c>
      <c r="BS600">
        <f t="shared" si="171"/>
        <v>1</v>
      </c>
      <c r="BT600">
        <f t="shared" si="171"/>
        <v>1</v>
      </c>
      <c r="BU600">
        <f t="shared" si="171"/>
        <v>1</v>
      </c>
      <c r="BV600">
        <f t="shared" si="171"/>
        <v>1</v>
      </c>
    </row>
    <row r="601" spans="1:74" hidden="1" outlineLevel="1">
      <c r="A601" s="22" t="s">
        <v>150</v>
      </c>
      <c r="B601" s="55" t="str">
        <f>'Business efficiency'!E11</f>
        <v>No</v>
      </c>
      <c r="C601" s="38">
        <f>K528*IF($B601="Yes",1,0)</f>
        <v>0</v>
      </c>
      <c r="D601" s="38">
        <f>O528*IF($B601="Yes",1,0)</f>
        <v>0</v>
      </c>
      <c r="E601" s="44">
        <f>SUM(D514:D516)*IF($B601="Yes",1,0)</f>
        <v>0</v>
      </c>
      <c r="F601" s="194"/>
      <c r="G601" s="194"/>
      <c r="H601" s="194"/>
      <c r="I601" s="194"/>
      <c r="J601">
        <f>Results!C90</f>
        <v>0</v>
      </c>
      <c r="K601">
        <f>Results!D90</f>
        <v>0</v>
      </c>
      <c r="L601">
        <f>SUM(W601:AH601)/12</f>
        <v>1</v>
      </c>
      <c r="M601">
        <f>SUM(AI601:AT601)/12</f>
        <v>1</v>
      </c>
      <c r="N601">
        <f>SUM(AU601:BF601)/12</f>
        <v>1</v>
      </c>
      <c r="O601">
        <f>SUM(BG601:BR601)/12</f>
        <v>1</v>
      </c>
      <c r="P601">
        <f>SUM(BK601:BV601)/12</f>
        <v>1</v>
      </c>
      <c r="Q601" s="38">
        <f t="shared" si="145"/>
        <v>0</v>
      </c>
      <c r="R601" s="38">
        <f t="shared" si="146"/>
        <v>0</v>
      </c>
      <c r="S601" s="38">
        <f t="shared" si="147"/>
        <v>0</v>
      </c>
      <c r="T601" s="38">
        <f t="shared" si="148"/>
        <v>0</v>
      </c>
      <c r="U601" s="38">
        <f t="shared" si="149"/>
        <v>0</v>
      </c>
      <c r="W601">
        <f t="shared" ref="W601:BB601" si="172">IF(W$588&lt;$J601,0,IF(W$588&gt;($J601+$K601),1,1/($K601+1)+V601))</f>
        <v>1</v>
      </c>
      <c r="X601">
        <f t="shared" si="172"/>
        <v>1</v>
      </c>
      <c r="Y601">
        <f t="shared" si="172"/>
        <v>1</v>
      </c>
      <c r="Z601">
        <f t="shared" si="172"/>
        <v>1</v>
      </c>
      <c r="AA601">
        <f t="shared" si="172"/>
        <v>1</v>
      </c>
      <c r="AB601">
        <f t="shared" si="172"/>
        <v>1</v>
      </c>
      <c r="AC601">
        <f t="shared" si="172"/>
        <v>1</v>
      </c>
      <c r="AD601">
        <f t="shared" si="172"/>
        <v>1</v>
      </c>
      <c r="AE601">
        <f t="shared" si="172"/>
        <v>1</v>
      </c>
      <c r="AF601">
        <f t="shared" si="172"/>
        <v>1</v>
      </c>
      <c r="AG601">
        <f t="shared" si="172"/>
        <v>1</v>
      </c>
      <c r="AH601">
        <f t="shared" si="172"/>
        <v>1</v>
      </c>
      <c r="AI601">
        <f t="shared" si="172"/>
        <v>1</v>
      </c>
      <c r="AJ601">
        <f t="shared" si="172"/>
        <v>1</v>
      </c>
      <c r="AK601">
        <f t="shared" si="172"/>
        <v>1</v>
      </c>
      <c r="AL601">
        <f t="shared" si="172"/>
        <v>1</v>
      </c>
      <c r="AM601">
        <f t="shared" si="172"/>
        <v>1</v>
      </c>
      <c r="AN601">
        <f t="shared" si="172"/>
        <v>1</v>
      </c>
      <c r="AO601">
        <f t="shared" si="172"/>
        <v>1</v>
      </c>
      <c r="AP601">
        <f t="shared" si="172"/>
        <v>1</v>
      </c>
      <c r="AQ601">
        <f t="shared" si="172"/>
        <v>1</v>
      </c>
      <c r="AR601">
        <f t="shared" si="172"/>
        <v>1</v>
      </c>
      <c r="AS601">
        <f t="shared" si="172"/>
        <v>1</v>
      </c>
      <c r="AT601">
        <f t="shared" si="172"/>
        <v>1</v>
      </c>
      <c r="AU601">
        <f t="shared" si="172"/>
        <v>1</v>
      </c>
      <c r="AV601">
        <f t="shared" si="172"/>
        <v>1</v>
      </c>
      <c r="AW601">
        <f t="shared" si="172"/>
        <v>1</v>
      </c>
      <c r="AX601">
        <f t="shared" si="172"/>
        <v>1</v>
      </c>
      <c r="AY601">
        <f t="shared" si="172"/>
        <v>1</v>
      </c>
      <c r="AZ601">
        <f t="shared" si="172"/>
        <v>1</v>
      </c>
      <c r="BA601">
        <f t="shared" si="172"/>
        <v>1</v>
      </c>
      <c r="BB601">
        <f t="shared" si="172"/>
        <v>1</v>
      </c>
      <c r="BC601">
        <f t="shared" ref="BC601:BV601" si="173">IF(BC$588&lt;$J601,0,IF(BC$588&gt;($J601+$K601),1,1/($K601+1)+BB601))</f>
        <v>1</v>
      </c>
      <c r="BD601">
        <f t="shared" si="173"/>
        <v>1</v>
      </c>
      <c r="BE601">
        <f t="shared" si="173"/>
        <v>1</v>
      </c>
      <c r="BF601">
        <f t="shared" si="173"/>
        <v>1</v>
      </c>
      <c r="BG601">
        <f t="shared" si="173"/>
        <v>1</v>
      </c>
      <c r="BH601">
        <f t="shared" si="173"/>
        <v>1</v>
      </c>
      <c r="BI601">
        <f t="shared" si="173"/>
        <v>1</v>
      </c>
      <c r="BJ601">
        <f t="shared" si="173"/>
        <v>1</v>
      </c>
      <c r="BK601">
        <f t="shared" si="173"/>
        <v>1</v>
      </c>
      <c r="BL601">
        <f t="shared" si="173"/>
        <v>1</v>
      </c>
      <c r="BM601">
        <f t="shared" si="173"/>
        <v>1</v>
      </c>
      <c r="BN601">
        <f t="shared" si="173"/>
        <v>1</v>
      </c>
      <c r="BO601">
        <f t="shared" si="173"/>
        <v>1</v>
      </c>
      <c r="BP601">
        <f t="shared" si="173"/>
        <v>1</v>
      </c>
      <c r="BQ601">
        <f t="shared" si="173"/>
        <v>1</v>
      </c>
      <c r="BR601">
        <f t="shared" si="173"/>
        <v>1</v>
      </c>
      <c r="BS601">
        <f t="shared" si="173"/>
        <v>1</v>
      </c>
      <c r="BT601">
        <f t="shared" si="173"/>
        <v>1</v>
      </c>
      <c r="BU601">
        <f t="shared" si="173"/>
        <v>1</v>
      </c>
      <c r="BV601">
        <f t="shared" si="173"/>
        <v>1</v>
      </c>
    </row>
    <row r="602" spans="1:74" hidden="1" outlineLevel="1"/>
    <row r="603" spans="1:74" hidden="1" outlineLevel="1">
      <c r="K603" t="s">
        <v>541</v>
      </c>
      <c r="L603">
        <f>SUMPRODUCT($F$590:$F$601,L590:L601)</f>
        <v>0</v>
      </c>
      <c r="M603">
        <f>SUMPRODUCT($F$590:$F$601,M590:M601)</f>
        <v>0</v>
      </c>
      <c r="N603">
        <f>SUMPRODUCT($F$590:$F$601,N590:N601)</f>
        <v>0</v>
      </c>
      <c r="O603">
        <f>SUMPRODUCT($F$590:$F$601,O590:O601)</f>
        <v>0</v>
      </c>
      <c r="P603">
        <f>SUMPRODUCT($F$590:$F$601,P590:P601)</f>
        <v>0</v>
      </c>
    </row>
    <row r="604" spans="1:74" hidden="1" outlineLevel="1">
      <c r="K604" t="s">
        <v>536</v>
      </c>
      <c r="L604">
        <f>SUMPRODUCT($H$590:$H$601,L590:L601)</f>
        <v>0</v>
      </c>
      <c r="M604">
        <f>SUMPRODUCT($H$590:$H$601,M590:M601)</f>
        <v>0</v>
      </c>
      <c r="N604">
        <f>SUMPRODUCT($H$590:$H$601,N590:N601)</f>
        <v>0</v>
      </c>
      <c r="O604">
        <f>SUMPRODUCT($H$590:$H$601,O590:O601)</f>
        <v>0</v>
      </c>
      <c r="P604">
        <f>SUMPRODUCT($H$590:$H$601,P590:P601)</f>
        <v>0</v>
      </c>
    </row>
    <row r="605" spans="1:74" hidden="1" outlineLevel="1">
      <c r="K605" t="s">
        <v>537</v>
      </c>
      <c r="L605">
        <f>SUMPRODUCT($I$590:$I$601,L590:L601)</f>
        <v>0</v>
      </c>
      <c r="M605">
        <f>SUMPRODUCT($I$590:$I$601,M590:M601)</f>
        <v>0</v>
      </c>
      <c r="N605">
        <f>SUMPRODUCT($I$590:$I$601,N590:N601)</f>
        <v>0</v>
      </c>
      <c r="O605">
        <f>SUMPRODUCT($I$590:$I$601,O590:O601)</f>
        <v>0</v>
      </c>
      <c r="P605">
        <f>SUMPRODUCT($I$590:$I$601,P590:P601)</f>
        <v>0</v>
      </c>
    </row>
    <row r="606" spans="1:74" hidden="1" outlineLevel="1"/>
    <row r="607" spans="1:74" hidden="1" outlineLevel="1">
      <c r="C607" s="16" t="s">
        <v>540</v>
      </c>
      <c r="F607" t="s">
        <v>241</v>
      </c>
      <c r="K607" t="s">
        <v>145</v>
      </c>
    </row>
    <row r="608" spans="1:74" hidden="1" outlineLevel="1">
      <c r="A608" s="57" t="s">
        <v>87</v>
      </c>
      <c r="B608" s="57" t="s">
        <v>542</v>
      </c>
      <c r="C608" s="22" t="s">
        <v>240</v>
      </c>
      <c r="D608" s="22" t="s">
        <v>94</v>
      </c>
      <c r="E608" s="22"/>
      <c r="F608" s="22" t="s">
        <v>242</v>
      </c>
      <c r="G608" s="22" t="s">
        <v>243</v>
      </c>
      <c r="H608" s="22" t="s">
        <v>244</v>
      </c>
      <c r="I608" s="22" t="s">
        <v>102</v>
      </c>
      <c r="J608" s="22"/>
      <c r="K608" s="22" t="s">
        <v>245</v>
      </c>
      <c r="L608" s="22" t="s">
        <v>246</v>
      </c>
      <c r="M608" s="22" t="s">
        <v>247</v>
      </c>
      <c r="N608" s="22" t="s">
        <v>150</v>
      </c>
      <c r="O608" t="s">
        <v>188</v>
      </c>
      <c r="P608" t="s">
        <v>189</v>
      </c>
      <c r="Q608" t="s">
        <v>190</v>
      </c>
      <c r="R608" t="s">
        <v>191</v>
      </c>
      <c r="S608" t="s">
        <v>192</v>
      </c>
    </row>
    <row r="609" spans="1:19" hidden="1" outlineLevel="1">
      <c r="A609" t="str">
        <f>'Practice Inputs'!A28</f>
        <v>General practitioner</v>
      </c>
      <c r="B609">
        <f>_xlfn.XLOOKUP(A609,'Practice Inputs'!$A$108:$A$127,'Practice Inputs'!$E$108:$E$127,0)</f>
        <v>1</v>
      </c>
      <c r="C609">
        <f>SUMIF($B$96:$B$99, $A609,$D$96:$D$99)/60/_xlfn.XLOOKUP(A609,'Practice Inputs'!$A$28:$A$47,'Practice Inputs'!$L$28:$L$47,1920)*IF($B$590="Yes",1,0)</f>
        <v>0</v>
      </c>
      <c r="D609">
        <f>SUMIF($B$159:$B$163,$A609,$D$159:$D$163)/60/_xlfn.XLOOKUP(A609,'Practice Inputs'!$A$28:$A$47,'Practice Inputs'!$L$28:$L$47,1920)*IF($B$591="Yes",1,0)</f>
        <v>0</v>
      </c>
      <c r="F609">
        <f>SUMIF($B$230:$B$246,$A609,$D$230:$D$246)/60/_xlfn.XLOOKUP(A609,'Practice Inputs'!$A$28:$A$47,'Practice Inputs'!$L$28:$L$47,1920)*IF($B$593="Yes",1,0)</f>
        <v>0</v>
      </c>
      <c r="G609">
        <f>SUMIF($B$315:$B$334,$A609,$D$315:$D$334)/60/_xlfn.XLOOKUP(A609,'Practice Inputs'!$A$28:$A$47,'Practice Inputs'!$L$28:$L$47,1920)*IF($B$594="Yes",1,0)</f>
        <v>0</v>
      </c>
      <c r="H609">
        <f>SUMIF($B$376:$B$381,$A609,$D$376:$D$381)/60/_xlfn.XLOOKUP(A609,'Practice Inputs'!$A$28:$A$47,'Practice Inputs'!$L$28:$L$47,1920)*IF($B$595="Yes",1,0)</f>
        <v>0</v>
      </c>
      <c r="I609">
        <f>SUMIF($B$417:$B$423,$A609,$D$417:$D$423)/60/_xlfn.XLOOKUP(A609,'Practice Inputs'!$A$28:$A$47,'Practice Inputs'!$L$28:$L$47,1920)*IF($B$596="Yes",1,0)</f>
        <v>0</v>
      </c>
      <c r="K609">
        <f>SUMIF($B$452:$B$454,$A609,$D$452:$D$454)/60/_xlfn.XLOOKUP(A609,'Practice Inputs'!$A$28:$A$47,'Practice Inputs'!$L$28:$L$47,1920)*IF($B$598="Yes",1,0)</f>
        <v>0</v>
      </c>
      <c r="L609">
        <f>SUMIF($B$481:$B$503,$A609,$D$481:$D$503)/60/_xlfn.XLOOKUP(A609,'Practice Inputs'!$A$28:$A$47,'Practice Inputs'!$L$28:$L$47,1920)*IF($B$599="Yes",1,0)</f>
        <v>0</v>
      </c>
      <c r="M609">
        <f>SUMIF($B$569:$B$581,$A609,$D$569:$D$581)/60/_xlfn.XLOOKUP(A609,'Practice Inputs'!$A$28:$A$47,'Practice Inputs'!$L$28:$L$47,1920)*IF($B$600="Yes",1,0)</f>
        <v>0</v>
      </c>
      <c r="N609">
        <f>SUMIF($B$526:$B$528,$A609,$D$526:$D$528)/60/_xlfn.XLOOKUP(A609,'Practice Inputs'!$A$28:$A$47,'Practice Inputs'!$L$28:$L$47,1920)*IF($B$601="Yes",1,0)</f>
        <v>0</v>
      </c>
      <c r="O609">
        <f t="array" ref="O609">SUMPRODUCT(TRANSPOSE($C609:$N609),L$590:L$601)</f>
        <v>0</v>
      </c>
      <c r="P609">
        <f t="array" ref="P609">SUMPRODUCT(TRANSPOSE($C609:$N609),M$590:M$601)</f>
        <v>0</v>
      </c>
      <c r="Q609">
        <f t="array" ref="Q609">SUMPRODUCT(TRANSPOSE($C609:$N609),N$590:N$601)</f>
        <v>0</v>
      </c>
      <c r="R609">
        <f t="array" ref="R609">SUMPRODUCT(TRANSPOSE($C609:$N609),O$590:O$601)</f>
        <v>0</v>
      </c>
      <c r="S609" cm="1">
        <f t="array" ref="S609">SUMPRODUCT(TRANSPOSE($C609:$N609),P$590:P$601)</f>
        <v>0</v>
      </c>
    </row>
    <row r="610" spans="1:19" hidden="1" outlineLevel="1">
      <c r="A610" t="str">
        <f>'Practice Inputs'!A29</f>
        <v>Nurse practitioner</v>
      </c>
      <c r="B610">
        <f>_xlfn.XLOOKUP(A610,'Practice Inputs'!$A$108:$A$127,'Practice Inputs'!$E$108:$E$127,0)</f>
        <v>1</v>
      </c>
      <c r="C610">
        <f>SUMIF($B$96:$B$99, $A610,$D$96:$D$99)/60/_xlfn.XLOOKUP(A610,'Practice Inputs'!$A$28:$A$47,'Practice Inputs'!$L$28:$L$47,1920)*IF($B$590="Yes",1,0)</f>
        <v>0</v>
      </c>
      <c r="D610">
        <f>SUMIF($B$159:$B$163,$A610,$D$159:$D$163)/60/_xlfn.XLOOKUP(A610,'Practice Inputs'!$A$28:$A$47,'Practice Inputs'!$L$28:$L$47,1920)*IF($B$591="Yes",1,0)</f>
        <v>0</v>
      </c>
      <c r="F610">
        <f>SUMIF($B$230:$B$246,$A610,$D$230:$D$246)/60/_xlfn.XLOOKUP(A610,'Practice Inputs'!$A$28:$A$47,'Practice Inputs'!$L$28:$L$47,1920)*IF($B$593="Yes",1,0)</f>
        <v>0</v>
      </c>
      <c r="G610">
        <f>SUMIF($B$315:$B$334,$A610,$D$315:$D$334)/60/_xlfn.XLOOKUP(A610,'Practice Inputs'!$A$28:$A$47,'Practice Inputs'!$L$28:$L$47,1920)*IF($B$594="Yes",1,0)</f>
        <v>0</v>
      </c>
      <c r="H610">
        <f>SUMIF($B$376:$B$381,$A610,$D$376:$D$381)/60/_xlfn.XLOOKUP(A610,'Practice Inputs'!$A$28:$A$47,'Practice Inputs'!$L$28:$L$47,1920)*IF($B$595="Yes",1,0)</f>
        <v>0</v>
      </c>
      <c r="I610">
        <f>SUMIF($B$417:$B$423,$A610,$D$417:$D$423)/60/_xlfn.XLOOKUP(A610,'Practice Inputs'!$A$28:$A$47,'Practice Inputs'!$L$28:$L$47,1920)*IF($B$596="Yes",1,0)</f>
        <v>0</v>
      </c>
      <c r="K610">
        <f>SUMIF($B$452:$B$454,$A610,$D$452:$D$454)/60/_xlfn.XLOOKUP(A610,'Practice Inputs'!$A$28:$A$47,'Practice Inputs'!$L$28:$L$47,1920)*IF($B$598="Yes",1,0)</f>
        <v>0</v>
      </c>
      <c r="L610">
        <f>SUMIF($B$481:$B$503,$A610,$D$481:$D$503)/60/_xlfn.XLOOKUP(A610,'Practice Inputs'!$A$28:$A$47,'Practice Inputs'!$L$28:$L$47,1920)*IF($B$599="Yes",1,0)</f>
        <v>0</v>
      </c>
      <c r="M610">
        <f>SUMIF($B$569:$B$581,$A610,$D$569:$D$581)/60/_xlfn.XLOOKUP(A610,'Practice Inputs'!$A$28:$A$47,'Practice Inputs'!$L$28:$L$47,1920)*IF($B$600="Yes",1,0)</f>
        <v>0</v>
      </c>
      <c r="N610">
        <f>SUMIF($B$526:$B$528,$A610,$D$526:$D$528)/60/_xlfn.XLOOKUP(A610,'Practice Inputs'!$A$28:$A$47,'Practice Inputs'!$L$28:$L$47,1920)*IF($B$601="Yes",1,0)</f>
        <v>0</v>
      </c>
      <c r="O610">
        <f t="array" ref="O610">SUMPRODUCT(TRANSPOSE($C610:$N610),L$590:L$601)</f>
        <v>0</v>
      </c>
      <c r="P610">
        <f t="array" ref="P610">SUMPRODUCT(TRANSPOSE($C610:$N610),M$590:M$601)</f>
        <v>0</v>
      </c>
      <c r="Q610">
        <f t="array" ref="Q610">SUMPRODUCT(TRANSPOSE($C610:$N610),N$590:N$601)</f>
        <v>0</v>
      </c>
      <c r="R610">
        <f t="array" ref="R610">SUMPRODUCT(TRANSPOSE($C610:$N610),O$590:O$601)</f>
        <v>0</v>
      </c>
      <c r="S610">
        <f t="array" ref="S610">SUMPRODUCT(TRANSPOSE($C610:$N610),P$590:P$601)</f>
        <v>0</v>
      </c>
    </row>
    <row r="611" spans="1:19" hidden="1" outlineLevel="1">
      <c r="A611" t="str">
        <f>'Practice Inputs'!A30</f>
        <v>Nurse</v>
      </c>
      <c r="B611">
        <f>_xlfn.XLOOKUP(A611,'Practice Inputs'!$A$108:$A$127,'Practice Inputs'!$E$108:$E$127,0)</f>
        <v>1</v>
      </c>
      <c r="C611">
        <f>SUMIF($B$96:$B$99, $A611,$D$96:$D$99)/60/_xlfn.XLOOKUP(A611,'Practice Inputs'!$A$28:$A$47,'Practice Inputs'!$L$28:$L$47,1920)*IF($B$590="Yes",1,0)</f>
        <v>0</v>
      </c>
      <c r="D611">
        <f>SUMIF($B$159:$B$163,$A611,$D$159:$D$163)/60/_xlfn.XLOOKUP(A611,'Practice Inputs'!$A$28:$A$47,'Practice Inputs'!$L$28:$L$47,1920)*IF($B$591="Yes",1,0)</f>
        <v>0</v>
      </c>
      <c r="F611">
        <f>SUMIF($B$230:$B$246,$A611,$D$230:$D$246)/60/_xlfn.XLOOKUP(A611,'Practice Inputs'!$A$28:$A$47,'Practice Inputs'!$L$28:$L$47,1920)*IF($B$593="Yes",1,0)</f>
        <v>0</v>
      </c>
      <c r="G611">
        <f>SUMIF($B$315:$B$334,$A611,$D$315:$D$334)/60/_xlfn.XLOOKUP(A611,'Practice Inputs'!$A$28:$A$47,'Practice Inputs'!$L$28:$L$47,1920)*IF($B$594="Yes",1,0)</f>
        <v>0</v>
      </c>
      <c r="H611">
        <f>SUMIF($B$376:$B$381,$A611,$D$376:$D$381)/60/_xlfn.XLOOKUP(A611,'Practice Inputs'!$A$28:$A$47,'Practice Inputs'!$L$28:$L$47,1920)*IF($B$595="Yes",1,0)</f>
        <v>0</v>
      </c>
      <c r="I611">
        <f>SUMIF($B$417:$B$423,$A611,$D$417:$D$423)/60/_xlfn.XLOOKUP(A611,'Practice Inputs'!$A$28:$A$47,'Practice Inputs'!$L$28:$L$47,1920)*IF($B$596="Yes",1,0)</f>
        <v>0</v>
      </c>
      <c r="K611">
        <f>SUMIF($B$452:$B$454,$A611,$D$452:$D$454)/60/_xlfn.XLOOKUP(A611,'Practice Inputs'!$A$28:$A$47,'Practice Inputs'!$L$28:$L$47,1920)*IF($B$598="Yes",1,0)</f>
        <v>0</v>
      </c>
      <c r="L611">
        <f>SUMIF($B$481:$B$503,$A611,$D$481:$D$503)/60/_xlfn.XLOOKUP(A611,'Practice Inputs'!$A$28:$A$47,'Practice Inputs'!$L$28:$L$47,1920)*IF($B$599="Yes",1,0)</f>
        <v>0</v>
      </c>
      <c r="M611">
        <f>SUMIF($B$569:$B$581,$A611,$D$569:$D$581)/60/_xlfn.XLOOKUP(A611,'Practice Inputs'!$A$28:$A$47,'Practice Inputs'!$L$28:$L$47,1920)*IF($B$600="Yes",1,0)</f>
        <v>0</v>
      </c>
      <c r="N611">
        <f>SUMIF($B$526:$B$528,$A611,$D$526:$D$528)/60/_xlfn.XLOOKUP(A611,'Practice Inputs'!$A$28:$A$47,'Practice Inputs'!$L$28:$L$47,1920)*IF($B$601="Yes",1,0)</f>
        <v>0</v>
      </c>
      <c r="O611">
        <f t="array" ref="O611">SUMPRODUCT(TRANSPOSE($C611:$N611),L$590:L$601)</f>
        <v>0</v>
      </c>
      <c r="P611">
        <f t="array" ref="P611">SUMPRODUCT(TRANSPOSE($C611:$N611),M$590:M$601)</f>
        <v>0</v>
      </c>
      <c r="Q611">
        <f t="array" ref="Q611">SUMPRODUCT(TRANSPOSE($C611:$N611),N$590:N$601)</f>
        <v>0</v>
      </c>
      <c r="R611">
        <f t="array" ref="R611">SUMPRODUCT(TRANSPOSE($C611:$N611),O$590:O$601)</f>
        <v>0</v>
      </c>
      <c r="S611">
        <f t="array" ref="S611">SUMPRODUCT(TRANSPOSE($C611:$N611),P$590:P$601)</f>
        <v>0</v>
      </c>
    </row>
    <row r="612" spans="1:19" hidden="1" outlineLevel="1">
      <c r="A612" t="str">
        <f>'Practice Inputs'!A31</f>
        <v>Healthcare Assistant</v>
      </c>
      <c r="B612">
        <f>_xlfn.XLOOKUP(A612,'Practice Inputs'!$A$108:$A$127,'Practice Inputs'!$E$108:$E$127,0)</f>
        <v>0</v>
      </c>
      <c r="C612">
        <f>SUMIF($B$96:$B$99, $A612,$D$96:$D$99)/60/_xlfn.XLOOKUP(A612,'Practice Inputs'!$A$28:$A$47,'Practice Inputs'!$L$28:$L$47,1920)*IF($B$590="Yes",1,0)</f>
        <v>0</v>
      </c>
      <c r="D612">
        <f>SUMIF($B$159:$B$163,$A612,$D$159:$D$163)/60/_xlfn.XLOOKUP(A612,'Practice Inputs'!$A$28:$A$47,'Practice Inputs'!$L$28:$L$47,1920)*IF($B$591="Yes",1,0)</f>
        <v>0</v>
      </c>
      <c r="F612">
        <f>SUMIF($B$230:$B$246,$A612,$D$230:$D$246)/60/_xlfn.XLOOKUP(A612,'Practice Inputs'!$A$28:$A$47,'Practice Inputs'!$L$28:$L$47,1920)*IF($B$593="Yes",1,0)</f>
        <v>0</v>
      </c>
      <c r="G612">
        <f>SUMIF($B$315:$B$334,$A612,$D$315:$D$334)/60/_xlfn.XLOOKUP(A612,'Practice Inputs'!$A$28:$A$47,'Practice Inputs'!$L$28:$L$47,1920)*IF($B$594="Yes",1,0)</f>
        <v>0</v>
      </c>
      <c r="H612">
        <f>SUMIF($B$376:$B$381,$A612,$D$376:$D$381)/60/_xlfn.XLOOKUP(A612,'Practice Inputs'!$A$28:$A$47,'Practice Inputs'!$L$28:$L$47,1920)*IF($B$595="Yes",1,0)</f>
        <v>0</v>
      </c>
      <c r="I612">
        <f>SUMIF($B$417:$B$423,$A612,$D$417:$D$423)/60/_xlfn.XLOOKUP(A612,'Practice Inputs'!$A$28:$A$47,'Practice Inputs'!$L$28:$L$47,1920)*IF($B$596="Yes",1,0)</f>
        <v>0</v>
      </c>
      <c r="K612">
        <f>SUMIF($B$452:$B$454,$A612,$D$452:$D$454)/60/_xlfn.XLOOKUP(A612,'Practice Inputs'!$A$28:$A$47,'Practice Inputs'!$L$28:$L$47,1920)*IF($B$598="Yes",1,0)</f>
        <v>0</v>
      </c>
      <c r="L612">
        <f>SUMIF($B$481:$B$503,$A612,$D$481:$D$503)/60/_xlfn.XLOOKUP(A612,'Practice Inputs'!$A$28:$A$47,'Practice Inputs'!$L$28:$L$47,1920)*IF($B$599="Yes",1,0)</f>
        <v>0</v>
      </c>
      <c r="M612">
        <f>SUMIF($B$569:$B$581,$A612,$D$569:$D$581)/60/_xlfn.XLOOKUP(A612,'Practice Inputs'!$A$28:$A$47,'Practice Inputs'!$L$28:$L$47,1920)*IF($B$600="Yes",1,0)</f>
        <v>0</v>
      </c>
      <c r="N612">
        <f>SUMIF($B$526:$B$528,$A612,$D$526:$D$528)/60/_xlfn.XLOOKUP(A612,'Practice Inputs'!$A$28:$A$47,'Practice Inputs'!$L$28:$L$47,1920)*IF($B$601="Yes",1,0)</f>
        <v>0</v>
      </c>
      <c r="O612">
        <f t="array" ref="O612">SUMPRODUCT(TRANSPOSE($C612:$N612),L$590:L$601)</f>
        <v>0</v>
      </c>
      <c r="P612">
        <f t="array" ref="P612">SUMPRODUCT(TRANSPOSE($C612:$N612),M$590:M$601)</f>
        <v>0</v>
      </c>
      <c r="Q612">
        <f t="array" ref="Q612">SUMPRODUCT(TRANSPOSE($C612:$N612),N$590:N$601)</f>
        <v>0</v>
      </c>
      <c r="R612">
        <f t="array" ref="R612">SUMPRODUCT(TRANSPOSE($C612:$N612),O$590:O$601)</f>
        <v>0</v>
      </c>
      <c r="S612">
        <f t="array" ref="S612">SUMPRODUCT(TRANSPOSE($C612:$N612),P$590:P$601)</f>
        <v>0</v>
      </c>
    </row>
    <row r="613" spans="1:19" hidden="1" outlineLevel="1">
      <c r="A613" t="str">
        <f>'Practice Inputs'!A32</f>
        <v>Clinical Assistant</v>
      </c>
      <c r="B613">
        <f>_xlfn.XLOOKUP(A613,'Practice Inputs'!$A$108:$A$127,'Practice Inputs'!$E$108:$E$127,0)</f>
        <v>0</v>
      </c>
      <c r="C613">
        <f>SUMIF($B$96:$B$99, $A613,$D$96:$D$99)/60/_xlfn.XLOOKUP(A613,'Practice Inputs'!$A$28:$A$47,'Practice Inputs'!$L$28:$L$47,1920)*IF($B$590="Yes",1,0)</f>
        <v>0</v>
      </c>
      <c r="D613">
        <f>SUMIF($B$159:$B$163,$A613,$D$159:$D$163)/60/_xlfn.XLOOKUP(A613,'Practice Inputs'!$A$28:$A$47,'Practice Inputs'!$L$28:$L$47,1920)*IF($B$591="Yes",1,0)</f>
        <v>0</v>
      </c>
      <c r="F613">
        <f>SUMIF($B$230:$B$246,$A613,$D$230:$D$246)/60/_xlfn.XLOOKUP(A613,'Practice Inputs'!$A$28:$A$47,'Practice Inputs'!$L$28:$L$47,1920)*IF($B$593="Yes",1,0)</f>
        <v>0</v>
      </c>
      <c r="G613">
        <f>SUMIF($B$315:$B$334,$A613,$D$315:$D$334)/60/_xlfn.XLOOKUP(A613,'Practice Inputs'!$A$28:$A$47,'Practice Inputs'!$L$28:$L$47,1920)*IF($B$594="Yes",1,0)</f>
        <v>0</v>
      </c>
      <c r="H613">
        <f>SUMIF($B$376:$B$381,$A613,$D$376:$D$381)/60/_xlfn.XLOOKUP(A613,'Practice Inputs'!$A$28:$A$47,'Practice Inputs'!$L$28:$L$47,1920)*IF($B$595="Yes",1,0)</f>
        <v>0</v>
      </c>
      <c r="I613">
        <f>SUMIF($B$417:$B$423,$A613,$D$417:$D$423)/60/_xlfn.XLOOKUP(A613,'Practice Inputs'!$A$28:$A$47,'Practice Inputs'!$L$28:$L$47,1920)*IF($B$596="Yes",1,0)</f>
        <v>0</v>
      </c>
      <c r="K613">
        <f>SUMIF($B$452:$B$454,$A613,$D$452:$D$454)/60/_xlfn.XLOOKUP(A613,'Practice Inputs'!$A$28:$A$47,'Practice Inputs'!$L$28:$L$47,1920)*IF($B$598="Yes",1,0)</f>
        <v>0</v>
      </c>
      <c r="L613">
        <f>SUMIF($B$481:$B$503,$A613,$D$481:$D$503)/60/_xlfn.XLOOKUP(A613,'Practice Inputs'!$A$28:$A$47,'Practice Inputs'!$L$28:$L$47,1920)*IF($B$599="Yes",1,0)</f>
        <v>0</v>
      </c>
      <c r="M613">
        <f>SUMIF($B$569:$B$581,$A613,$D$569:$D$581)/60/_xlfn.XLOOKUP(A613,'Practice Inputs'!$A$28:$A$47,'Practice Inputs'!$L$28:$L$47,1920)*IF($B$600="Yes",1,0)</f>
        <v>0</v>
      </c>
      <c r="N613">
        <f>SUMIF($B$526:$B$528,$A613,$D$526:$D$528)/60/_xlfn.XLOOKUP(A613,'Practice Inputs'!$A$28:$A$47,'Practice Inputs'!$L$28:$L$47,1920)*IF($B$601="Yes",1,0)</f>
        <v>0</v>
      </c>
      <c r="O613">
        <f t="array" ref="O613">SUMPRODUCT(TRANSPOSE($C613:$N613),L$590:L$601)</f>
        <v>0</v>
      </c>
      <c r="P613">
        <f t="array" ref="P613">SUMPRODUCT(TRANSPOSE($C613:$N613),M$590:M$601)</f>
        <v>0</v>
      </c>
      <c r="Q613">
        <f t="array" ref="Q613">SUMPRODUCT(TRANSPOSE($C613:$N613),N$590:N$601)</f>
        <v>0</v>
      </c>
      <c r="R613">
        <f t="array" ref="R613">SUMPRODUCT(TRANSPOSE($C613:$N613),O$590:O$601)</f>
        <v>0</v>
      </c>
      <c r="S613">
        <f t="array" ref="S613">SUMPRODUCT(TRANSPOSE($C613:$N613),P$590:P$601)</f>
        <v>0</v>
      </c>
    </row>
    <row r="614" spans="1:19" hidden="1" outlineLevel="1">
      <c r="A614" t="str">
        <f>'Practice Inputs'!A33</f>
        <v>Reception / Administrator</v>
      </c>
      <c r="B614">
        <f>_xlfn.XLOOKUP(A614,'Practice Inputs'!$A$108:$A$127,'Practice Inputs'!$E$108:$E$127,0)</f>
        <v>0</v>
      </c>
      <c r="C614">
        <f>SUMIF($B$96:$B$99, $A614,$D$96:$D$99)/60/_xlfn.XLOOKUP(A614,'Practice Inputs'!$A$28:$A$47,'Practice Inputs'!$L$28:$L$47,1920)*IF($B$590="Yes",1,0)</f>
        <v>0</v>
      </c>
      <c r="D614">
        <f>SUMIF($B$159:$B$163,$A614,$D$159:$D$163)/60/_xlfn.XLOOKUP(A614,'Practice Inputs'!$A$28:$A$47,'Practice Inputs'!$L$28:$L$47,1920)*IF($B$591="Yes",1,0)</f>
        <v>0</v>
      </c>
      <c r="F614">
        <f>SUMIF($B$230:$B$246,$A614,$D$230:$D$246)/60/_xlfn.XLOOKUP(A614,'Practice Inputs'!$A$28:$A$47,'Practice Inputs'!$L$28:$L$47,1920)*IF($B$593="Yes",1,0)</f>
        <v>0</v>
      </c>
      <c r="G614">
        <f>SUMIF($B$315:$B$334,$A614,$D$315:$D$334)/60/_xlfn.XLOOKUP(A614,'Practice Inputs'!$A$28:$A$47,'Practice Inputs'!$L$28:$L$47,1920)*IF($B$594="Yes",1,0)</f>
        <v>0</v>
      </c>
      <c r="H614">
        <f>SUMIF($B$376:$B$381,$A614,$D$376:$D$381)/60/_xlfn.XLOOKUP(A614,'Practice Inputs'!$A$28:$A$47,'Practice Inputs'!$L$28:$L$47,1920)*IF($B$595="Yes",1,0)</f>
        <v>0</v>
      </c>
      <c r="I614">
        <f>SUMIF($B$417:$B$423,$A614,$D$417:$D$423)/60/_xlfn.XLOOKUP(A614,'Practice Inputs'!$A$28:$A$47,'Practice Inputs'!$L$28:$L$47,1920)*IF($B$596="Yes",1,0)</f>
        <v>0</v>
      </c>
      <c r="K614">
        <f>SUMIF($B$452:$B$454,$A614,$D$452:$D$454)/60/_xlfn.XLOOKUP(A614,'Practice Inputs'!$A$28:$A$47,'Practice Inputs'!$L$28:$L$47,1920)*IF($B$598="Yes",1,0)</f>
        <v>0</v>
      </c>
      <c r="L614">
        <f>SUMIF($B$481:$B$503,$A614,$D$481:$D$503)/60/_xlfn.XLOOKUP(A614,'Practice Inputs'!$A$28:$A$47,'Practice Inputs'!$L$28:$L$47,1920)*IF($B$599="Yes",1,0)</f>
        <v>0</v>
      </c>
      <c r="M614">
        <f>SUMIF($B$569:$B$581,$A614,$D$569:$D$581)/60/_xlfn.XLOOKUP(A614,'Practice Inputs'!$A$28:$A$47,'Practice Inputs'!$L$28:$L$47,1920)*IF($B$600="Yes",1,0)</f>
        <v>0</v>
      </c>
      <c r="N614">
        <f>SUMIF($B$526:$B$528,$A614,$D$526:$D$528)/60/_xlfn.XLOOKUP(A614,'Practice Inputs'!$A$28:$A$47,'Practice Inputs'!$L$28:$L$47,1920)*IF($B$601="Yes",1,0)</f>
        <v>0</v>
      </c>
      <c r="O614">
        <f t="array" ref="O614">SUMPRODUCT(TRANSPOSE($C614:$N614),L$590:L$601)</f>
        <v>0</v>
      </c>
      <c r="P614">
        <f t="array" ref="P614">SUMPRODUCT(TRANSPOSE($C614:$N614),M$590:M$601)</f>
        <v>0</v>
      </c>
      <c r="Q614">
        <f t="array" ref="Q614">SUMPRODUCT(TRANSPOSE($C614:$N614),N$590:N$601)</f>
        <v>0</v>
      </c>
      <c r="R614">
        <f t="array" ref="R614">SUMPRODUCT(TRANSPOSE($C614:$N614),O$590:O$601)</f>
        <v>0</v>
      </c>
      <c r="S614">
        <f t="array" ref="S614">SUMPRODUCT(TRANSPOSE($C614:$N614),P$590:P$601)</f>
        <v>0</v>
      </c>
    </row>
    <row r="615" spans="1:19" hidden="1" outlineLevel="1">
      <c r="A615" t="str">
        <f>'Practice Inputs'!A34</f>
        <v>Practice Manager</v>
      </c>
      <c r="B615">
        <f>_xlfn.XLOOKUP(A615,'Practice Inputs'!$A$108:$A$127,'Practice Inputs'!$E$108:$E$127,0)</f>
        <v>0</v>
      </c>
      <c r="C615">
        <f>SUMIF($B$96:$B$99, $A615,$D$96:$D$99)/60/_xlfn.XLOOKUP(A615,'Practice Inputs'!$A$28:$A$47,'Practice Inputs'!$L$28:$L$47,1920)*IF($B$590="Yes",1,0)</f>
        <v>0</v>
      </c>
      <c r="D615">
        <f>SUMIF($B$159:$B$163,$A615,$D$159:$D$163)/60/_xlfn.XLOOKUP(A615,'Practice Inputs'!$A$28:$A$47,'Practice Inputs'!$L$28:$L$47,1920)*IF($B$591="Yes",1,0)</f>
        <v>0</v>
      </c>
      <c r="F615">
        <f>SUMIF($B$230:$B$246,$A615,$D$230:$D$246)/60/_xlfn.XLOOKUP(A615,'Practice Inputs'!$A$28:$A$47,'Practice Inputs'!$L$28:$L$47,1920)*IF($B$593="Yes",1,0)</f>
        <v>0</v>
      </c>
      <c r="G615">
        <f>SUMIF($B$315:$B$334,$A615,$D$315:$D$334)/60/_xlfn.XLOOKUP(A615,'Practice Inputs'!$A$28:$A$47,'Practice Inputs'!$L$28:$L$47,1920)*IF($B$594="Yes",1,0)</f>
        <v>0</v>
      </c>
      <c r="H615">
        <f>SUMIF($B$376:$B$381,$A615,$D$376:$D$381)/60/_xlfn.XLOOKUP(A615,'Practice Inputs'!$A$28:$A$47,'Practice Inputs'!$L$28:$L$47,1920)*IF($B$595="Yes",1,0)</f>
        <v>0</v>
      </c>
      <c r="I615">
        <f>SUMIF($B$417:$B$423,$A615,$D$417:$D$423)/60/_xlfn.XLOOKUP(A615,'Practice Inputs'!$A$28:$A$47,'Practice Inputs'!$L$28:$L$47,1920)*IF($B$596="Yes",1,0)</f>
        <v>0</v>
      </c>
      <c r="K615">
        <f>SUMIF($B$452:$B$454,$A615,$D$452:$D$454)/60/_xlfn.XLOOKUP(A615,'Practice Inputs'!$A$28:$A$47,'Practice Inputs'!$L$28:$L$47,1920)*IF($B$598="Yes",1,0)</f>
        <v>0</v>
      </c>
      <c r="L615">
        <f>SUMIF($B$481:$B$503,$A615,$D$481:$D$503)/60/_xlfn.XLOOKUP(A615,'Practice Inputs'!$A$28:$A$47,'Practice Inputs'!$L$28:$L$47,1920)*IF($B$599="Yes",1,0)</f>
        <v>0</v>
      </c>
      <c r="M615">
        <f>SUMIF($B$569:$B$581,$A615,$D$569:$D$581)/60/_xlfn.XLOOKUP(A615,'Practice Inputs'!$A$28:$A$47,'Practice Inputs'!$L$28:$L$47,1920)*IF($B$600="Yes",1,0)</f>
        <v>0</v>
      </c>
      <c r="N615">
        <f>SUMIF($B$526:$B$528,$A615,$D$526:$D$528)/60/_xlfn.XLOOKUP(A615,'Practice Inputs'!$A$28:$A$47,'Practice Inputs'!$L$28:$L$47,1920)*IF($B$601="Yes",1,0)</f>
        <v>0</v>
      </c>
      <c r="O615">
        <f t="array" ref="O615">SUMPRODUCT(TRANSPOSE($C615:$N615),L$590:L$601)</f>
        <v>0</v>
      </c>
      <c r="P615">
        <f t="array" ref="P615">SUMPRODUCT(TRANSPOSE($C615:$N615),M$590:M$601)</f>
        <v>0</v>
      </c>
      <c r="Q615">
        <f t="array" ref="Q615">SUMPRODUCT(TRANSPOSE($C615:$N615),N$590:N$601)</f>
        <v>0</v>
      </c>
      <c r="R615">
        <f t="array" ref="R615">SUMPRODUCT(TRANSPOSE($C615:$N615),O$590:O$601)</f>
        <v>0</v>
      </c>
      <c r="S615">
        <f t="array" ref="S615">SUMPRODUCT(TRANSPOSE($C615:$N615),P$590:P$601)</f>
        <v>0</v>
      </c>
    </row>
    <row r="616" spans="1:19" hidden="1" outlineLevel="1">
      <c r="A616" t="str">
        <f>'Practice Inputs'!A35</f>
        <v>Paramedic, extended care</v>
      </c>
      <c r="B616">
        <f>_xlfn.XLOOKUP(A616,'Practice Inputs'!$A$108:$A$127,'Practice Inputs'!$E$108:$E$127,0)</f>
        <v>1</v>
      </c>
      <c r="C616">
        <f>SUMIF($B$96:$B$99, $A616,$D$96:$D$99)/60/_xlfn.XLOOKUP(A616,'Practice Inputs'!$A$28:$A$47,'Practice Inputs'!$L$28:$L$47,1920)*IF($B$590="Yes",1,0)</f>
        <v>0</v>
      </c>
      <c r="D616">
        <f>SUMIF($B$159:$B$163,$A616,$D$159:$D$163)/60/_xlfn.XLOOKUP(A616,'Practice Inputs'!$A$28:$A$47,'Practice Inputs'!$L$28:$L$47,1920)*IF($B$591="Yes",1,0)</f>
        <v>0</v>
      </c>
      <c r="F616">
        <f>SUMIF($B$230:$B$246,$A616,$D$230:$D$246)/60/_xlfn.XLOOKUP(A616,'Practice Inputs'!$A$28:$A$47,'Practice Inputs'!$L$28:$L$47,1920)*IF($B$593="Yes",1,0)</f>
        <v>0</v>
      </c>
      <c r="G616">
        <f>SUMIF($B$315:$B$334,$A616,$D$315:$D$334)/60/_xlfn.XLOOKUP(A616,'Practice Inputs'!$A$28:$A$47,'Practice Inputs'!$L$28:$L$47,1920)*IF($B$594="Yes",1,0)</f>
        <v>0</v>
      </c>
      <c r="H616">
        <f>SUMIF($B$376:$B$381,$A616,$D$376:$D$381)/60/_xlfn.XLOOKUP(A616,'Practice Inputs'!$A$28:$A$47,'Practice Inputs'!$L$28:$L$47,1920)*IF($B$595="Yes",1,0)</f>
        <v>0</v>
      </c>
      <c r="I616">
        <f>SUMIF($B$417:$B$423,$A616,$D$417:$D$423)/60/_xlfn.XLOOKUP(A616,'Practice Inputs'!$A$28:$A$47,'Practice Inputs'!$L$28:$L$47,1920)*IF($B$596="Yes",1,0)</f>
        <v>0</v>
      </c>
      <c r="K616">
        <f>SUMIF($B$452:$B$454,$A616,$D$452:$D$454)/60/_xlfn.XLOOKUP(A616,'Practice Inputs'!$A$28:$A$47,'Practice Inputs'!$L$28:$L$47,1920)*IF($B$598="Yes",1,0)</f>
        <v>0</v>
      </c>
      <c r="L616">
        <f>SUMIF($B$481:$B$503,$A616,$D$481:$D$503)/60/_xlfn.XLOOKUP(A616,'Practice Inputs'!$A$28:$A$47,'Practice Inputs'!$L$28:$L$47,1920)*IF($B$599="Yes",1,0)</f>
        <v>0</v>
      </c>
      <c r="M616">
        <f>SUMIF($B$569:$B$581,$A616,$D$569:$D$581)/60/_xlfn.XLOOKUP(A616,'Practice Inputs'!$A$28:$A$47,'Practice Inputs'!$L$28:$L$47,1920)*IF($B$600="Yes",1,0)</f>
        <v>0</v>
      </c>
      <c r="N616">
        <f>SUMIF($B$526:$B$528,$A616,$D$526:$D$528)/60/_xlfn.XLOOKUP(A616,'Practice Inputs'!$A$28:$A$47,'Practice Inputs'!$L$28:$L$47,1920)*IF($B$601="Yes",1,0)</f>
        <v>0</v>
      </c>
      <c r="O616">
        <f t="array" ref="O616">SUMPRODUCT(TRANSPOSE($C616:$N616),L$590:L$601)</f>
        <v>0</v>
      </c>
      <c r="P616">
        <f t="array" ref="P616">SUMPRODUCT(TRANSPOSE($C616:$N616),M$590:M$601)</f>
        <v>0</v>
      </c>
      <c r="Q616">
        <f t="array" ref="Q616">SUMPRODUCT(TRANSPOSE($C616:$N616),N$590:N$601)</f>
        <v>0</v>
      </c>
      <c r="R616">
        <f t="array" ref="R616">SUMPRODUCT(TRANSPOSE($C616:$N616),O$590:O$601)</f>
        <v>0</v>
      </c>
      <c r="S616">
        <f t="array" ref="S616">SUMPRODUCT(TRANSPOSE($C616:$N616),P$590:P$601)</f>
        <v>0</v>
      </c>
    </row>
    <row r="617" spans="1:19" hidden="1" outlineLevel="1">
      <c r="A617" t="str">
        <f>'Practice Inputs'!A36</f>
        <v>Pharmacist</v>
      </c>
      <c r="B617">
        <f>_xlfn.XLOOKUP(A617,'Practice Inputs'!$A$108:$A$127,'Practice Inputs'!$E$108:$E$127,0)</f>
        <v>1</v>
      </c>
      <c r="C617">
        <f>SUMIF($B$96:$B$99, $A617,$D$96:$D$99)/60/_xlfn.XLOOKUP(A617,'Practice Inputs'!$A$28:$A$47,'Practice Inputs'!$L$28:$L$47,1920)*IF($B$590="Yes",1,0)</f>
        <v>0</v>
      </c>
      <c r="D617">
        <f>SUMIF($B$159:$B$163,$A617,$D$159:$D$163)/60/_xlfn.XLOOKUP(A617,'Practice Inputs'!$A$28:$A$47,'Practice Inputs'!$L$28:$L$47,1920)*IF($B$591="Yes",1,0)</f>
        <v>0</v>
      </c>
      <c r="F617">
        <f>SUMIF($B$230:$B$246,$A617,$D$230:$D$246)/60/_xlfn.XLOOKUP(A617,'Practice Inputs'!$A$28:$A$47,'Practice Inputs'!$L$28:$L$47,1920)*IF($B$593="Yes",1,0)</f>
        <v>0</v>
      </c>
      <c r="G617">
        <f>SUMIF($B$315:$B$334,$A617,$D$315:$D$334)/60/_xlfn.XLOOKUP(A617,'Practice Inputs'!$A$28:$A$47,'Practice Inputs'!$L$28:$L$47,1920)*IF($B$594="Yes",1,0)</f>
        <v>0</v>
      </c>
      <c r="H617">
        <f>SUMIF($B$376:$B$381,$A617,$D$376:$D$381)/60/_xlfn.XLOOKUP(A617,'Practice Inputs'!$A$28:$A$47,'Practice Inputs'!$L$28:$L$47,1920)*IF($B$595="Yes",1,0)</f>
        <v>0</v>
      </c>
      <c r="I617">
        <f>SUMIF($B$417:$B$423,$A617,$D$417:$D$423)/60/_xlfn.XLOOKUP(A617,'Practice Inputs'!$A$28:$A$47,'Practice Inputs'!$L$28:$L$47,1920)*IF($B$596="Yes",1,0)</f>
        <v>0</v>
      </c>
      <c r="K617">
        <f>SUMIF($B$452:$B$454,$A617,$D$452:$D$454)/60/_xlfn.XLOOKUP(A617,'Practice Inputs'!$A$28:$A$47,'Practice Inputs'!$L$28:$L$47,1920)*IF($B$598="Yes",1,0)</f>
        <v>0</v>
      </c>
      <c r="L617">
        <f>SUMIF($B$481:$B$503,$A617,$D$481:$D$503)/60/_xlfn.XLOOKUP(A617,'Practice Inputs'!$A$28:$A$47,'Practice Inputs'!$L$28:$L$47,1920)*IF($B$599="Yes",1,0)</f>
        <v>0</v>
      </c>
      <c r="M617">
        <f>SUMIF($B$569:$B$581,$A617,$D$569:$D$581)/60/_xlfn.XLOOKUP(A617,'Practice Inputs'!$A$28:$A$47,'Practice Inputs'!$L$28:$L$47,1920)*IF($B$600="Yes",1,0)</f>
        <v>0</v>
      </c>
      <c r="N617">
        <f>SUMIF($B$526:$B$528,$A617,$D$526:$D$528)/60/_xlfn.XLOOKUP(A617,'Practice Inputs'!$A$28:$A$47,'Practice Inputs'!$L$28:$L$47,1920)*IF($B$601="Yes",1,0)</f>
        <v>0</v>
      </c>
      <c r="O617">
        <f t="array" ref="O617">SUMPRODUCT(TRANSPOSE($C617:$N617),L$590:L$601)</f>
        <v>0</v>
      </c>
      <c r="P617">
        <f t="array" ref="P617">SUMPRODUCT(TRANSPOSE($C617:$N617),M$590:M$601)</f>
        <v>0</v>
      </c>
      <c r="Q617">
        <f t="array" ref="Q617">SUMPRODUCT(TRANSPOSE($C617:$N617),N$590:N$601)</f>
        <v>0</v>
      </c>
      <c r="R617">
        <f t="array" ref="R617">SUMPRODUCT(TRANSPOSE($C617:$N617),O$590:O$601)</f>
        <v>0</v>
      </c>
      <c r="S617">
        <f t="array" ref="S617">SUMPRODUCT(TRANSPOSE($C617:$N617),P$590:P$601)</f>
        <v>0</v>
      </c>
    </row>
    <row r="618" spans="1:19" hidden="1" outlineLevel="1">
      <c r="A618" t="str">
        <f>'Practice Inputs'!A37</f>
        <v>Podiatrist</v>
      </c>
      <c r="B618">
        <f>_xlfn.XLOOKUP(A618,'Practice Inputs'!$A$108:$A$127,'Practice Inputs'!$E$108:$E$127,0)</f>
        <v>1</v>
      </c>
      <c r="C618">
        <f>SUMIF($B$96:$B$99, $A618,$D$96:$D$99)/60/_xlfn.XLOOKUP(A618,'Practice Inputs'!$A$28:$A$47,'Practice Inputs'!$L$28:$L$47,1920)*IF($B$590="Yes",1,0)</f>
        <v>0</v>
      </c>
      <c r="D618">
        <f>SUMIF($B$159:$B$163,$A618,$D$159:$D$163)/60/_xlfn.XLOOKUP(A618,'Practice Inputs'!$A$28:$A$47,'Practice Inputs'!$L$28:$L$47,1920)*IF($B$591="Yes",1,0)</f>
        <v>0</v>
      </c>
      <c r="F618">
        <f>SUMIF($B$230:$B$246,$A618,$D$230:$D$246)/60/_xlfn.XLOOKUP(A618,'Practice Inputs'!$A$28:$A$47,'Practice Inputs'!$L$28:$L$47,1920)*IF($B$593="Yes",1,0)</f>
        <v>0</v>
      </c>
      <c r="G618">
        <f>SUMIF($B$315:$B$334,$A618,$D$315:$D$334)/60/_xlfn.XLOOKUP(A618,'Practice Inputs'!$A$28:$A$47,'Practice Inputs'!$L$28:$L$47,1920)*IF($B$594="Yes",1,0)</f>
        <v>0</v>
      </c>
      <c r="H618">
        <f>SUMIF($B$376:$B$381,$A618,$D$376:$D$381)/60/_xlfn.XLOOKUP(A618,'Practice Inputs'!$A$28:$A$47,'Practice Inputs'!$L$28:$L$47,1920)*IF($B$595="Yes",1,0)</f>
        <v>0</v>
      </c>
      <c r="I618">
        <f>SUMIF($B$417:$B$423,$A618,$D$417:$D$423)/60/_xlfn.XLOOKUP(A618,'Practice Inputs'!$A$28:$A$47,'Practice Inputs'!$L$28:$L$47,1920)*IF($B$596="Yes",1,0)</f>
        <v>0</v>
      </c>
      <c r="K618">
        <f>SUMIF($B$452:$B$454,$A618,$D$452:$D$454)/60/_xlfn.XLOOKUP(A618,'Practice Inputs'!$A$28:$A$47,'Practice Inputs'!$L$28:$L$47,1920)*IF($B$598="Yes",1,0)</f>
        <v>0</v>
      </c>
      <c r="L618">
        <f>SUMIF($B$481:$B$503,$A618,$D$481:$D$503)/60/_xlfn.XLOOKUP(A618,'Practice Inputs'!$A$28:$A$47,'Practice Inputs'!$L$28:$L$47,1920)*IF($B$599="Yes",1,0)</f>
        <v>0</v>
      </c>
      <c r="M618">
        <f>SUMIF($B$569:$B$581,$A618,$D$569:$D$581)/60/_xlfn.XLOOKUP(A618,'Practice Inputs'!$A$28:$A$47,'Practice Inputs'!$L$28:$L$47,1920)*IF($B$600="Yes",1,0)</f>
        <v>0</v>
      </c>
      <c r="N618">
        <f>SUMIF($B$526:$B$528,$A618,$D$526:$D$528)/60/_xlfn.XLOOKUP(A618,'Practice Inputs'!$A$28:$A$47,'Practice Inputs'!$L$28:$L$47,1920)*IF($B$601="Yes",1,0)</f>
        <v>0</v>
      </c>
      <c r="O618">
        <f t="array" ref="O618">SUMPRODUCT(TRANSPOSE($C618:$N618),L$590:L$601)</f>
        <v>0</v>
      </c>
      <c r="P618">
        <f t="array" ref="P618">SUMPRODUCT(TRANSPOSE($C618:$N618),M$590:M$601)</f>
        <v>0</v>
      </c>
      <c r="Q618">
        <f t="array" ref="Q618">SUMPRODUCT(TRANSPOSE($C618:$N618),N$590:N$601)</f>
        <v>0</v>
      </c>
      <c r="R618">
        <f t="array" ref="R618">SUMPRODUCT(TRANSPOSE($C618:$N618),O$590:O$601)</f>
        <v>0</v>
      </c>
      <c r="S618">
        <f t="array" ref="S618">SUMPRODUCT(TRANSPOSE($C618:$N618),P$590:P$601)</f>
        <v>0</v>
      </c>
    </row>
    <row r="619" spans="1:19" hidden="1" outlineLevel="1">
      <c r="A619" t="str">
        <f>'Practice Inputs'!A38</f>
        <v>Physiotherapist</v>
      </c>
      <c r="B619">
        <f>_xlfn.XLOOKUP(A619,'Practice Inputs'!$A$108:$A$127,'Practice Inputs'!$E$108:$E$127,0)</f>
        <v>1</v>
      </c>
      <c r="C619">
        <f>SUMIF($B$96:$B$99, $A619,$D$96:$D$99)/60/_xlfn.XLOOKUP(A619,'Practice Inputs'!$A$28:$A$47,'Practice Inputs'!$L$28:$L$47,1920)*IF($B$590="Yes",1,0)</f>
        <v>0</v>
      </c>
      <c r="D619">
        <f>SUMIF($B$159:$B$163,$A619,$D$159:$D$163)/60/_xlfn.XLOOKUP(A619,'Practice Inputs'!$A$28:$A$47,'Practice Inputs'!$L$28:$L$47,1920)*IF($B$591="Yes",1,0)</f>
        <v>0</v>
      </c>
      <c r="F619">
        <f>SUMIF($B$230:$B$246,$A619,$D$230:$D$246)/60/_xlfn.XLOOKUP(A619,'Practice Inputs'!$A$28:$A$47,'Practice Inputs'!$L$28:$L$47,1920)*IF($B$593="Yes",1,0)</f>
        <v>0</v>
      </c>
      <c r="G619">
        <f>SUMIF($B$315:$B$334,$A619,$D$315:$D$334)/60/_xlfn.XLOOKUP(A619,'Practice Inputs'!$A$28:$A$47,'Practice Inputs'!$L$28:$L$47,1920)*IF($B$594="Yes",1,0)</f>
        <v>0</v>
      </c>
      <c r="H619">
        <f>SUMIF($B$376:$B$381,$A619,$D$376:$D$381)/60/_xlfn.XLOOKUP(A619,'Practice Inputs'!$A$28:$A$47,'Practice Inputs'!$L$28:$L$47,1920)*IF($B$595="Yes",1,0)</f>
        <v>0</v>
      </c>
      <c r="I619">
        <f>SUMIF($B$417:$B$423,$A619,$D$417:$D$423)/60/_xlfn.XLOOKUP(A619,'Practice Inputs'!$A$28:$A$47,'Practice Inputs'!$L$28:$L$47,1920)*IF($B$596="Yes",1,0)</f>
        <v>0</v>
      </c>
      <c r="K619">
        <f>SUMIF($B$452:$B$454,$A619,$D$452:$D$454)/60/_xlfn.XLOOKUP(A619,'Practice Inputs'!$A$28:$A$47,'Practice Inputs'!$L$28:$L$47,1920)*IF($B$598="Yes",1,0)</f>
        <v>0</v>
      </c>
      <c r="L619">
        <f>SUMIF($B$481:$B$503,$A619,$D$481:$D$503)/60/_xlfn.XLOOKUP(A619,'Practice Inputs'!$A$28:$A$47,'Practice Inputs'!$L$28:$L$47,1920)*IF($B$599="Yes",1,0)</f>
        <v>0</v>
      </c>
      <c r="M619">
        <f>SUMIF($B$569:$B$581,$A619,$D$569:$D$581)/60/_xlfn.XLOOKUP(A619,'Practice Inputs'!$A$28:$A$47,'Practice Inputs'!$L$28:$L$47,1920)*IF($B$600="Yes",1,0)</f>
        <v>0</v>
      </c>
      <c r="N619">
        <f>SUMIF($B$526:$B$528,$A619,$D$526:$D$528)/60/_xlfn.XLOOKUP(A619,'Practice Inputs'!$A$28:$A$47,'Practice Inputs'!$L$28:$L$47,1920)*IF($B$601="Yes",1,0)</f>
        <v>0</v>
      </c>
      <c r="O619">
        <f t="array" ref="O619">SUMPRODUCT(TRANSPOSE($C619:$N619),L$590:L$601)</f>
        <v>0</v>
      </c>
      <c r="P619">
        <f t="array" ref="P619">SUMPRODUCT(TRANSPOSE($C619:$N619),M$590:M$601)</f>
        <v>0</v>
      </c>
      <c r="Q619">
        <f t="array" ref="Q619">SUMPRODUCT(TRANSPOSE($C619:$N619),N$590:N$601)</f>
        <v>0</v>
      </c>
      <c r="R619">
        <f t="array" ref="R619">SUMPRODUCT(TRANSPOSE($C619:$N619),O$590:O$601)</f>
        <v>0</v>
      </c>
      <c r="S619">
        <f t="array" ref="S619">SUMPRODUCT(TRANSPOSE($C619:$N619),P$590:P$601)</f>
        <v>0</v>
      </c>
    </row>
    <row r="620" spans="1:19" hidden="1" outlineLevel="1">
      <c r="A620" t="str">
        <f>'Practice Inputs'!A39</f>
        <v>Social Worker</v>
      </c>
      <c r="B620">
        <f>_xlfn.XLOOKUP(A620,'Practice Inputs'!$A$108:$A$127,'Practice Inputs'!$E$108:$E$127,0)</f>
        <v>1</v>
      </c>
      <c r="C620">
        <f>SUMIF($B$96:$B$99, $A620,$D$96:$D$99)/60/_xlfn.XLOOKUP(A620,'Practice Inputs'!$A$28:$A$47,'Practice Inputs'!$L$28:$L$47,1920)*IF($B$590="Yes",1,0)</f>
        <v>0</v>
      </c>
      <c r="D620">
        <f>SUMIF($B$159:$B$163,$A620,$D$159:$D$163)/60/_xlfn.XLOOKUP(A620,'Practice Inputs'!$A$28:$A$47,'Practice Inputs'!$L$28:$L$47,1920)*IF($B$591="Yes",1,0)</f>
        <v>0</v>
      </c>
      <c r="F620">
        <f>SUMIF($B$230:$B$246,$A620,$D$230:$D$246)/60/_xlfn.XLOOKUP(A620,'Practice Inputs'!$A$28:$A$47,'Practice Inputs'!$L$28:$L$47,1920)*IF($B$593="Yes",1,0)</f>
        <v>0</v>
      </c>
      <c r="G620">
        <f>SUMIF($B$315:$B$334,$A620,$D$315:$D$334)/60/_xlfn.XLOOKUP(A620,'Practice Inputs'!$A$28:$A$47,'Practice Inputs'!$L$28:$L$47,1920)*IF($B$594="Yes",1,0)</f>
        <v>0</v>
      </c>
      <c r="H620">
        <f>SUMIF($B$376:$B$381,$A620,$D$376:$D$381)/60/_xlfn.XLOOKUP(A620,'Practice Inputs'!$A$28:$A$47,'Practice Inputs'!$L$28:$L$47,1920)*IF($B$595="Yes",1,0)</f>
        <v>0</v>
      </c>
      <c r="I620">
        <f>SUMIF($B$417:$B$423,$A620,$D$417:$D$423)/60/_xlfn.XLOOKUP(A620,'Practice Inputs'!$A$28:$A$47,'Practice Inputs'!$L$28:$L$47,1920)*IF($B$596="Yes",1,0)</f>
        <v>0</v>
      </c>
      <c r="K620">
        <f>SUMIF($B$452:$B$454,$A620,$D$452:$D$454)/60/_xlfn.XLOOKUP(A620,'Practice Inputs'!$A$28:$A$47,'Practice Inputs'!$L$28:$L$47,1920)*IF($B$598="Yes",1,0)</f>
        <v>0</v>
      </c>
      <c r="L620">
        <f>SUMIF($B$481:$B$503,$A620,$D$481:$D$503)/60/_xlfn.XLOOKUP(A620,'Practice Inputs'!$A$28:$A$47,'Practice Inputs'!$L$28:$L$47,1920)*IF($B$599="Yes",1,0)</f>
        <v>0</v>
      </c>
      <c r="M620">
        <f>SUMIF($B$569:$B$581,$A620,$D$569:$D$581)/60/_xlfn.XLOOKUP(A620,'Practice Inputs'!$A$28:$A$47,'Practice Inputs'!$L$28:$L$47,1920)*IF($B$600="Yes",1,0)</f>
        <v>0</v>
      </c>
      <c r="N620">
        <f>SUMIF($B$526:$B$528,$A620,$D$526:$D$528)/60/_xlfn.XLOOKUP(A620,'Practice Inputs'!$A$28:$A$47,'Practice Inputs'!$L$28:$L$47,1920)*IF($B$601="Yes",1,0)</f>
        <v>0</v>
      </c>
      <c r="O620">
        <f t="array" ref="O620">SUMPRODUCT(TRANSPOSE($C620:$N620),L$590:L$601)</f>
        <v>0</v>
      </c>
      <c r="P620">
        <f t="array" ref="P620">SUMPRODUCT(TRANSPOSE($C620:$N620),M$590:M$601)</f>
        <v>0</v>
      </c>
      <c r="Q620">
        <f t="array" ref="Q620">SUMPRODUCT(TRANSPOSE($C620:$N620),N$590:N$601)</f>
        <v>0</v>
      </c>
      <c r="R620">
        <f t="array" ref="R620">SUMPRODUCT(TRANSPOSE($C620:$N620),O$590:O$601)</f>
        <v>0</v>
      </c>
      <c r="S620">
        <f t="array" ref="S620">SUMPRODUCT(TRANSPOSE($C620:$N620),P$590:P$601)</f>
        <v>0</v>
      </c>
    </row>
    <row r="621" spans="1:19" hidden="1" outlineLevel="1">
      <c r="A621" t="str">
        <f>'Practice Inputs'!A40</f>
        <v>Health Improvement Practitioner (HIP)</v>
      </c>
      <c r="B621">
        <f>_xlfn.XLOOKUP(A621,'Practice Inputs'!$A$108:$A$127,'Practice Inputs'!$E$108:$E$127,0)</f>
        <v>1</v>
      </c>
      <c r="C621">
        <f>SUMIF($B$96:$B$99, $A621,$D$96:$D$99)/60/_xlfn.XLOOKUP(A621,'Practice Inputs'!$A$28:$A$47,'Practice Inputs'!$L$28:$L$47,1920)*IF($B$590="Yes",1,0)</f>
        <v>0</v>
      </c>
      <c r="D621">
        <f>SUMIF($B$159:$B$163,$A621,$D$159:$D$163)/60/_xlfn.XLOOKUP(A621,'Practice Inputs'!$A$28:$A$47,'Practice Inputs'!$L$28:$L$47,1920)*IF($B$591="Yes",1,0)</f>
        <v>0</v>
      </c>
      <c r="F621">
        <f>SUMIF($B$230:$B$246,$A621,$D$230:$D$246)/60/_xlfn.XLOOKUP(A621,'Practice Inputs'!$A$28:$A$47,'Practice Inputs'!$L$28:$L$47,1920)*IF($B$593="Yes",1,0)</f>
        <v>0</v>
      </c>
      <c r="G621">
        <f>SUMIF($B$315:$B$334,$A621,$D$315:$D$334)/60/_xlfn.XLOOKUP(A621,'Practice Inputs'!$A$28:$A$47,'Practice Inputs'!$L$28:$L$47,1920)*IF($B$594="Yes",1,0)</f>
        <v>0</v>
      </c>
      <c r="H621">
        <f>SUMIF($B$376:$B$381,$A621,$D$376:$D$381)/60/_xlfn.XLOOKUP(A621,'Practice Inputs'!$A$28:$A$47,'Practice Inputs'!$L$28:$L$47,1920)*IF($B$595="Yes",1,0)</f>
        <v>0</v>
      </c>
      <c r="I621">
        <f>SUMIF($B$417:$B$423,$A621,$D$417:$D$423)/60/_xlfn.XLOOKUP(A621,'Practice Inputs'!$A$28:$A$47,'Practice Inputs'!$L$28:$L$47,1920)*IF($B$596="Yes",1,0)</f>
        <v>0</v>
      </c>
      <c r="K621">
        <f>SUMIF($B$452:$B$454,$A621,$D$452:$D$454)/60/_xlfn.XLOOKUP(A621,'Practice Inputs'!$A$28:$A$47,'Practice Inputs'!$L$28:$L$47,1920)*IF($B$598="Yes",1,0)</f>
        <v>0</v>
      </c>
      <c r="L621">
        <f>SUMIF($B$481:$B$503,$A621,$D$481:$D$503)/60/_xlfn.XLOOKUP(A621,'Practice Inputs'!$A$28:$A$47,'Practice Inputs'!$L$28:$L$47,1920)*IF($B$599="Yes",1,0)</f>
        <v>0</v>
      </c>
      <c r="M621">
        <f>SUMIF($B$569:$B$581,$A621,$D$569:$D$581)/60/_xlfn.XLOOKUP(A621,'Practice Inputs'!$A$28:$A$47,'Practice Inputs'!$L$28:$L$47,1920)*IF($B$600="Yes",1,0)</f>
        <v>0</v>
      </c>
      <c r="N621">
        <f>SUMIF($B$526:$B$528,$A621,$D$526:$D$528)/60/_xlfn.XLOOKUP(A621,'Practice Inputs'!$A$28:$A$47,'Practice Inputs'!$L$28:$L$47,1920)*IF($B$601="Yes",1,0)</f>
        <v>0</v>
      </c>
      <c r="O621">
        <f t="array" ref="O621">SUMPRODUCT(TRANSPOSE($C621:$N621),L$590:L$601)</f>
        <v>0</v>
      </c>
      <c r="P621">
        <f t="array" ref="P621">SUMPRODUCT(TRANSPOSE($C621:$N621),M$590:M$601)</f>
        <v>0</v>
      </c>
      <c r="Q621">
        <f t="array" ref="Q621">SUMPRODUCT(TRANSPOSE($C621:$N621),N$590:N$601)</f>
        <v>0</v>
      </c>
      <c r="R621">
        <f t="array" ref="R621">SUMPRODUCT(TRANSPOSE($C621:$N621),O$590:O$601)</f>
        <v>0</v>
      </c>
      <c r="S621">
        <f t="array" ref="S621">SUMPRODUCT(TRANSPOSE($C621:$N621),P$590:P$601)</f>
        <v>0</v>
      </c>
    </row>
    <row r="622" spans="1:19" hidden="1" outlineLevel="1">
      <c r="A622" t="str">
        <f>'Practice Inputs'!A41</f>
        <v>Health Coach</v>
      </c>
      <c r="B622">
        <f>_xlfn.XLOOKUP(A622,'Practice Inputs'!$A$108:$A$127,'Practice Inputs'!$E$108:$E$127,0)</f>
        <v>1</v>
      </c>
      <c r="C622">
        <f>SUMIF($B$96:$B$99, $A622,$D$96:$D$99)/60/_xlfn.XLOOKUP(A622,'Practice Inputs'!$A$28:$A$47,'Practice Inputs'!$L$28:$L$47,1920)*IF($B$590="Yes",1,0)</f>
        <v>0</v>
      </c>
      <c r="D622">
        <f>SUMIF($B$159:$B$163,$A622,$D$159:$D$163)/60/_xlfn.XLOOKUP(A622,'Practice Inputs'!$A$28:$A$47,'Practice Inputs'!$L$28:$L$47,1920)*IF($B$591="Yes",1,0)</f>
        <v>0</v>
      </c>
      <c r="F622">
        <f>SUMIF($B$230:$B$246,$A622,$D$230:$D$246)/60/_xlfn.XLOOKUP(A622,'Practice Inputs'!$A$28:$A$47,'Practice Inputs'!$L$28:$L$47,1920)*IF($B$593="Yes",1,0)</f>
        <v>0</v>
      </c>
      <c r="G622">
        <f>SUMIF($B$315:$B$334,$A622,$D$315:$D$334)/60/_xlfn.XLOOKUP(A622,'Practice Inputs'!$A$28:$A$47,'Practice Inputs'!$L$28:$L$47,1920)*IF($B$594="Yes",1,0)</f>
        <v>0</v>
      </c>
      <c r="H622">
        <f>SUMIF($B$376:$B$381,$A622,$D$376:$D$381)/60/_xlfn.XLOOKUP(A622,'Practice Inputs'!$A$28:$A$47,'Practice Inputs'!$L$28:$L$47,1920)*IF($B$595="Yes",1,0)</f>
        <v>0</v>
      </c>
      <c r="I622">
        <f>SUMIF($B$417:$B$423,$A622,$D$417:$D$423)/60/_xlfn.XLOOKUP(A622,'Practice Inputs'!$A$28:$A$47,'Practice Inputs'!$L$28:$L$47,1920)*IF($B$596="Yes",1,0)</f>
        <v>0</v>
      </c>
      <c r="K622">
        <f>SUMIF($B$452:$B$454,$A622,$D$452:$D$454)/60/_xlfn.XLOOKUP(A622,'Practice Inputs'!$A$28:$A$47,'Practice Inputs'!$L$28:$L$47,1920)*IF($B$598="Yes",1,0)</f>
        <v>0</v>
      </c>
      <c r="L622">
        <f>SUMIF($B$481:$B$503,$A622,$D$481:$D$503)/60/_xlfn.XLOOKUP(A622,'Practice Inputs'!$A$28:$A$47,'Practice Inputs'!$L$28:$L$47,1920)*IF($B$599="Yes",1,0)</f>
        <v>0</v>
      </c>
      <c r="M622">
        <f>SUMIF($B$569:$B$581,$A622,$D$569:$D$581)/60/_xlfn.XLOOKUP(A622,'Practice Inputs'!$A$28:$A$47,'Practice Inputs'!$L$28:$L$47,1920)*IF($B$600="Yes",1,0)</f>
        <v>0</v>
      </c>
      <c r="N622">
        <f>SUMIF($B$526:$B$528,$A622,$D$526:$D$528)/60/_xlfn.XLOOKUP(A622,'Practice Inputs'!$A$28:$A$47,'Practice Inputs'!$L$28:$L$47,1920)*IF($B$601="Yes",1,0)</f>
        <v>0</v>
      </c>
      <c r="O622">
        <f t="array" ref="O622">SUMPRODUCT(TRANSPOSE($C622:$N622),L$590:L$601)</f>
        <v>0</v>
      </c>
      <c r="P622">
        <f t="array" ref="P622">SUMPRODUCT(TRANSPOSE($C622:$N622),M$590:M$601)</f>
        <v>0</v>
      </c>
      <c r="Q622">
        <f t="array" ref="Q622">SUMPRODUCT(TRANSPOSE($C622:$N622),N$590:N$601)</f>
        <v>0</v>
      </c>
      <c r="R622">
        <f t="array" ref="R622">SUMPRODUCT(TRANSPOSE($C622:$N622),O$590:O$601)</f>
        <v>0</v>
      </c>
      <c r="S622">
        <f t="array" ref="S622">SUMPRODUCT(TRANSPOSE($C622:$N622),P$590:P$601)</f>
        <v>0</v>
      </c>
    </row>
    <row r="623" spans="1:19" hidden="1" outlineLevel="1">
      <c r="A623" t="str">
        <f>'Practice Inputs'!A42</f>
        <v>Kaiāwhina / Community health worker</v>
      </c>
      <c r="B623">
        <f>_xlfn.XLOOKUP(A623,'Practice Inputs'!$A$108:$A$127,'Practice Inputs'!$E$108:$E$127,0)</f>
        <v>0</v>
      </c>
      <c r="C623">
        <f>SUMIF($B$96:$B$99, $A623,$D$96:$D$99)/60/_xlfn.XLOOKUP(A623,'Practice Inputs'!$A$28:$A$47,'Practice Inputs'!$L$28:$L$47,1920)*IF($B$590="Yes",1,0)</f>
        <v>0</v>
      </c>
      <c r="D623">
        <f>SUMIF($B$159:$B$163,$A623,$D$159:$D$163)/60/_xlfn.XLOOKUP(A623,'Practice Inputs'!$A$28:$A$47,'Practice Inputs'!$L$28:$L$47,1920)*IF($B$591="Yes",1,0)</f>
        <v>0</v>
      </c>
      <c r="F623">
        <f>SUMIF($B$230:$B$246,$A623,$D$230:$D$246)/60/_xlfn.XLOOKUP(A623,'Practice Inputs'!$A$28:$A$47,'Practice Inputs'!$L$28:$L$47,1920)*IF($B$593="Yes",1,0)</f>
        <v>0</v>
      </c>
      <c r="G623">
        <f>SUMIF($B$315:$B$334,$A623,$D$315:$D$334)/60/_xlfn.XLOOKUP(A623,'Practice Inputs'!$A$28:$A$47,'Practice Inputs'!$L$28:$L$47,1920)*IF($B$594="Yes",1,0)</f>
        <v>0</v>
      </c>
      <c r="H623">
        <f>SUMIF($B$376:$B$381,$A623,$D$376:$D$381)/60/_xlfn.XLOOKUP(A623,'Practice Inputs'!$A$28:$A$47,'Practice Inputs'!$L$28:$L$47,1920)*IF($B$595="Yes",1,0)</f>
        <v>0</v>
      </c>
      <c r="I623">
        <f>SUMIF($B$417:$B$423,$A623,$D$417:$D$423)/60/_xlfn.XLOOKUP(A623,'Practice Inputs'!$A$28:$A$47,'Practice Inputs'!$L$28:$L$47,1920)*IF($B$596="Yes",1,0)</f>
        <v>0</v>
      </c>
      <c r="K623">
        <f>SUMIF($B$452:$B$454,$A623,$D$452:$D$454)/60/_xlfn.XLOOKUP(A623,'Practice Inputs'!$A$28:$A$47,'Practice Inputs'!$L$28:$L$47,1920)*IF($B$598="Yes",1,0)</f>
        <v>0</v>
      </c>
      <c r="L623">
        <f>SUMIF($B$481:$B$503,$A623,$D$481:$D$503)/60/_xlfn.XLOOKUP(A623,'Practice Inputs'!$A$28:$A$47,'Practice Inputs'!$L$28:$L$47,1920)*IF($B$599="Yes",1,0)</f>
        <v>0</v>
      </c>
      <c r="M623">
        <f>SUMIF($B$569:$B$581,$A623,$D$569:$D$581)/60/_xlfn.XLOOKUP(A623,'Practice Inputs'!$A$28:$A$47,'Practice Inputs'!$L$28:$L$47,1920)*IF($B$600="Yes",1,0)</f>
        <v>0</v>
      </c>
      <c r="N623">
        <f>SUMIF($B$526:$B$528,$A623,$D$526:$D$528)/60/_xlfn.XLOOKUP(A623,'Practice Inputs'!$A$28:$A$47,'Practice Inputs'!$L$28:$L$47,1920)*IF($B$601="Yes",1,0)</f>
        <v>0</v>
      </c>
      <c r="O623">
        <f t="array" ref="O623">SUMPRODUCT(TRANSPOSE($C623:$N623),L$590:L$601)</f>
        <v>0</v>
      </c>
      <c r="P623">
        <f t="array" ref="P623">SUMPRODUCT(TRANSPOSE($C623:$N623),M$590:M$601)</f>
        <v>0</v>
      </c>
      <c r="Q623">
        <f t="array" ref="Q623">SUMPRODUCT(TRANSPOSE($C623:$N623),N$590:N$601)</f>
        <v>0</v>
      </c>
      <c r="R623">
        <f t="array" ref="R623">SUMPRODUCT(TRANSPOSE($C623:$N623),O$590:O$601)</f>
        <v>0</v>
      </c>
      <c r="S623">
        <f t="array" ref="S623">SUMPRODUCT(TRANSPOSE($C623:$N623),P$590:P$601)</f>
        <v>0</v>
      </c>
    </row>
    <row r="624" spans="1:19" hidden="1" outlineLevel="1">
      <c r="A624" t="str">
        <f>'Practice Inputs'!A43</f>
        <v>Care coordinator</v>
      </c>
      <c r="B624">
        <f>_xlfn.XLOOKUP(A624,'Practice Inputs'!$A$108:$A$127,'Practice Inputs'!$E$108:$E$127,0)</f>
        <v>1</v>
      </c>
      <c r="C624">
        <f>SUMIF($B$96:$B$99, $A624,$D$96:$D$99)/60/_xlfn.XLOOKUP(A624,'Practice Inputs'!$A$28:$A$47,'Practice Inputs'!$L$28:$L$47,1920)*IF($B$590="Yes",1,0)</f>
        <v>0</v>
      </c>
      <c r="D624">
        <f>SUMIF($B$159:$B$163,$A624,$D$159:$D$163)/60/_xlfn.XLOOKUP(A624,'Practice Inputs'!$A$28:$A$47,'Practice Inputs'!$L$28:$L$47,1920)*IF($B$591="Yes",1,0)</f>
        <v>0</v>
      </c>
      <c r="F624">
        <f>SUMIF($B$230:$B$246,$A624,$D$230:$D$246)/60/_xlfn.XLOOKUP(A624,'Practice Inputs'!$A$28:$A$47,'Practice Inputs'!$L$28:$L$47,1920)*IF($B$593="Yes",1,0)</f>
        <v>0</v>
      </c>
      <c r="G624">
        <f>SUMIF($B$315:$B$334,$A624,$D$315:$D$334)/60/_xlfn.XLOOKUP(A624,'Practice Inputs'!$A$28:$A$47,'Practice Inputs'!$L$28:$L$47,1920)*IF($B$594="Yes",1,0)</f>
        <v>0</v>
      </c>
      <c r="H624">
        <f>SUMIF($B$376:$B$381,$A624,$D$376:$D$381)/60/_xlfn.XLOOKUP(A624,'Practice Inputs'!$A$28:$A$47,'Practice Inputs'!$L$28:$L$47,1920)*IF($B$595="Yes",1,0)</f>
        <v>0</v>
      </c>
      <c r="I624">
        <f>SUMIF($B$417:$B$423,$A624,$D$417:$D$423)/60/_xlfn.XLOOKUP(A624,'Practice Inputs'!$A$28:$A$47,'Practice Inputs'!$L$28:$L$47,1920)*IF($B$596="Yes",1,0)</f>
        <v>0</v>
      </c>
      <c r="K624">
        <f>SUMIF($B$452:$B$454,$A624,$D$452:$D$454)/60/_xlfn.XLOOKUP(A624,'Practice Inputs'!$A$28:$A$47,'Practice Inputs'!$L$28:$L$47,1920)*IF($B$598="Yes",1,0)</f>
        <v>0</v>
      </c>
      <c r="L624">
        <f>SUMIF($B$481:$B$503,$A624,$D$481:$D$503)/60/_xlfn.XLOOKUP(A624,'Practice Inputs'!$A$28:$A$47,'Practice Inputs'!$L$28:$L$47,1920)*IF($B$599="Yes",1,0)</f>
        <v>0</v>
      </c>
      <c r="M624">
        <f>SUMIF($B$569:$B$581,$A624,$D$569:$D$581)/60/_xlfn.XLOOKUP(A624,'Practice Inputs'!$A$28:$A$47,'Practice Inputs'!$L$28:$L$47,1920)*IF($B$600="Yes",1,0)</f>
        <v>0</v>
      </c>
      <c r="N624">
        <f>SUMIF($B$526:$B$528,$A624,$D$526:$D$528)/60/_xlfn.XLOOKUP(A624,'Practice Inputs'!$A$28:$A$47,'Practice Inputs'!$L$28:$L$47,1920)*IF($B$601="Yes",1,0)</f>
        <v>0</v>
      </c>
      <c r="O624">
        <f t="array" ref="O624">SUMPRODUCT(TRANSPOSE($C624:$N624),L$590:L$601)</f>
        <v>0</v>
      </c>
      <c r="P624">
        <f t="array" ref="P624">SUMPRODUCT(TRANSPOSE($C624:$N624),M$590:M$601)</f>
        <v>0</v>
      </c>
      <c r="Q624">
        <f t="array" ref="Q624">SUMPRODUCT(TRANSPOSE($C624:$N624),N$590:N$601)</f>
        <v>0</v>
      </c>
      <c r="R624">
        <f t="array" ref="R624">SUMPRODUCT(TRANSPOSE($C624:$N624),O$590:O$601)</f>
        <v>0</v>
      </c>
      <c r="S624">
        <f t="array" ref="S624">SUMPRODUCT(TRANSPOSE($C624:$N624),P$590:P$601)</f>
        <v>0</v>
      </c>
    </row>
    <row r="625" spans="1:19" hidden="1" outlineLevel="1">
      <c r="A625" t="str">
        <f>'Practice Inputs'!A44</f>
        <v>new role</v>
      </c>
      <c r="B625">
        <f>_xlfn.XLOOKUP(A625,'Practice Inputs'!$A$108:$A$127,'Practice Inputs'!$E$108:$E$127,0)</f>
        <v>1</v>
      </c>
      <c r="C625">
        <f>SUMIF($B$96:$B$99, $A625,$D$96:$D$99)/60/_xlfn.XLOOKUP(A625,'Practice Inputs'!$A$28:$A$47,'Practice Inputs'!$L$28:$L$47,1920)*IF($B$590="Yes",1,0)</f>
        <v>0</v>
      </c>
      <c r="D625">
        <f>SUMIF($B$159:$B$163,$A625,$D$159:$D$163)/60/_xlfn.XLOOKUP(A625,'Practice Inputs'!$A$28:$A$47,'Practice Inputs'!$L$28:$L$47,1920)*IF($B$591="Yes",1,0)</f>
        <v>0</v>
      </c>
      <c r="F625">
        <f>SUMIF($B$230:$B$246,$A625,$D$230:$D$246)/60/_xlfn.XLOOKUP(A625,'Practice Inputs'!$A$28:$A$47,'Practice Inputs'!$L$28:$L$47,1920)*IF($B$593="Yes",1,0)</f>
        <v>0</v>
      </c>
      <c r="G625">
        <f>SUMIF($B$315:$B$334,$A625,$D$315:$D$334)/60/_xlfn.XLOOKUP(A625,'Practice Inputs'!$A$28:$A$47,'Practice Inputs'!$L$28:$L$47,1920)*IF($B$594="Yes",1,0)</f>
        <v>0</v>
      </c>
      <c r="H625">
        <f>SUMIF($B$376:$B$381,$A625,$D$376:$D$381)/60/_xlfn.XLOOKUP(A625,'Practice Inputs'!$A$28:$A$47,'Practice Inputs'!$L$28:$L$47,1920)*IF($B$595="Yes",1,0)</f>
        <v>0</v>
      </c>
      <c r="I625">
        <f>SUMIF($B$417:$B$423,$A625,$D$417:$D$423)/60/_xlfn.XLOOKUP(A625,'Practice Inputs'!$A$28:$A$47,'Practice Inputs'!$L$28:$L$47,1920)*IF($B$596="Yes",1,0)</f>
        <v>0</v>
      </c>
      <c r="K625">
        <f>SUMIF($B$452:$B$454,$A625,$D$452:$D$454)/60/_xlfn.XLOOKUP(A625,'Practice Inputs'!$A$28:$A$47,'Practice Inputs'!$L$28:$L$47,1920)*IF($B$598="Yes",1,0)</f>
        <v>0</v>
      </c>
      <c r="L625">
        <f>SUMIF($B$481:$B$503,$A625,$D$481:$D$503)/60/_xlfn.XLOOKUP(A625,'Practice Inputs'!$A$28:$A$47,'Practice Inputs'!$L$28:$L$47,1920)*IF($B$599="Yes",1,0)</f>
        <v>0</v>
      </c>
      <c r="M625">
        <f>SUMIF($B$569:$B$581,$A625,$D$569:$D$581)/60/_xlfn.XLOOKUP(A625,'Practice Inputs'!$A$28:$A$47,'Practice Inputs'!$L$28:$L$47,1920)*IF($B$600="Yes",1,0)</f>
        <v>0</v>
      </c>
      <c r="N625">
        <f>SUMIF($B$526:$B$528,$A625,$D$526:$D$528)/60/_xlfn.XLOOKUP(A625,'Practice Inputs'!$A$28:$A$47,'Practice Inputs'!$L$28:$L$47,1920)*IF($B$601="Yes",1,0)</f>
        <v>0</v>
      </c>
      <c r="O625">
        <f t="array" ref="O625">SUMPRODUCT(TRANSPOSE($C625:$N625),L$590:L$601)</f>
        <v>0</v>
      </c>
      <c r="P625">
        <f t="array" ref="P625">SUMPRODUCT(TRANSPOSE($C625:$N625),M$590:M$601)</f>
        <v>0</v>
      </c>
      <c r="Q625">
        <f t="array" ref="Q625">SUMPRODUCT(TRANSPOSE($C625:$N625),N$590:N$601)</f>
        <v>0</v>
      </c>
      <c r="R625">
        <f t="array" ref="R625">SUMPRODUCT(TRANSPOSE($C625:$N625),O$590:O$601)</f>
        <v>0</v>
      </c>
      <c r="S625">
        <f t="array" ref="S625">SUMPRODUCT(TRANSPOSE($C625:$N625),P$590:P$601)</f>
        <v>0</v>
      </c>
    </row>
    <row r="626" spans="1:19" hidden="1" outlineLevel="1">
      <c r="A626">
        <f>'Practice Inputs'!A45</f>
        <v>0</v>
      </c>
      <c r="B626">
        <f>_xlfn.XLOOKUP(A626,'Practice Inputs'!$A$108:$A$127,'Practice Inputs'!$E$108:$E$127,0)</f>
        <v>0</v>
      </c>
      <c r="C626">
        <f>SUMIF($B$96:$B$99, $A626,$D$96:$D$99)/60/_xlfn.XLOOKUP(A626,'Practice Inputs'!$A$28:$A$47,'Practice Inputs'!$L$28:$L$47,1920)*IF($B$590="Yes",1,0)</f>
        <v>0</v>
      </c>
      <c r="D626">
        <f>SUMIF($B$159:$B$163,$A626,$D$159:$D$163)/60/_xlfn.XLOOKUP(A626,'Practice Inputs'!$A$28:$A$47,'Practice Inputs'!$L$28:$L$47,1920)*IF($B$591="Yes",1,0)</f>
        <v>0</v>
      </c>
      <c r="F626" t="e">
        <f>SUMIF($B$230:$B$246,$A626,$D$230:$D$246)/60/_xlfn.XLOOKUP(A626,'Practice Inputs'!$A$28:$A$47,'Practice Inputs'!$L$28:$L$47,1920)*IF($B$593="Yes",1,0)</f>
        <v>#VALUE!</v>
      </c>
      <c r="G626">
        <f>SUMIF($B$315:$B$334,$A626,$D$315:$D$334)/60/_xlfn.XLOOKUP(A626,'Practice Inputs'!$A$28:$A$47,'Practice Inputs'!$L$28:$L$47,1920)*IF($B$594="Yes",1,0)</f>
        <v>0</v>
      </c>
      <c r="H626">
        <f>SUMIF($B$376:$B$381,$A626,$D$376:$D$381)/60/_xlfn.XLOOKUP(A626,'Practice Inputs'!$A$28:$A$47,'Practice Inputs'!$L$28:$L$47,1920)*IF($B$595="Yes",1,0)</f>
        <v>0</v>
      </c>
      <c r="I626">
        <f>SUMIF($B$417:$B$423,$A626,$D$417:$D$423)/60/_xlfn.XLOOKUP(A626,'Practice Inputs'!$A$28:$A$47,'Practice Inputs'!$L$28:$L$47,1920)*IF($B$596="Yes",1,0)</f>
        <v>0</v>
      </c>
      <c r="K626">
        <f>SUMIF($B$452:$B$454,$A626,$D$452:$D$454)/60/_xlfn.XLOOKUP(A626,'Practice Inputs'!$A$28:$A$47,'Practice Inputs'!$L$28:$L$47,1920)*IF($B$598="Yes",1,0)</f>
        <v>0</v>
      </c>
      <c r="L626">
        <f>SUMIF($B$481:$B$503,$A626,$D$481:$D$503)/60/_xlfn.XLOOKUP(A626,'Practice Inputs'!$A$28:$A$47,'Practice Inputs'!$L$28:$L$47,1920)*IF($B$599="Yes",1,0)</f>
        <v>0</v>
      </c>
      <c r="M626">
        <f>SUMIF($B$569:$B$581,$A626,$D$569:$D$581)/60/_xlfn.XLOOKUP(A626,'Practice Inputs'!$A$28:$A$47,'Practice Inputs'!$L$28:$L$47,1920)*IF($B$600="Yes",1,0)</f>
        <v>0</v>
      </c>
      <c r="N626">
        <f>SUMIF($B$526:$B$528,$A626,$D$526:$D$528)/60/_xlfn.XLOOKUP(A626,'Practice Inputs'!$A$28:$A$47,'Practice Inputs'!$L$28:$L$47,1920)*IF($B$601="Yes",1,0)</f>
        <v>0</v>
      </c>
      <c r="O626" t="e">
        <f t="array" ref="O626">SUMPRODUCT(TRANSPOSE($C626:$N626),L$590:L$601)</f>
        <v>#VALUE!</v>
      </c>
      <c r="P626" t="e">
        <f t="array" ref="P626">SUMPRODUCT(TRANSPOSE($C626:$N626),M$590:M$601)</f>
        <v>#VALUE!</v>
      </c>
      <c r="Q626" t="e">
        <f t="array" ref="Q626">SUMPRODUCT(TRANSPOSE($C626:$N626),N$590:N$601)</f>
        <v>#VALUE!</v>
      </c>
      <c r="R626" t="e">
        <f t="array" ref="R626">SUMPRODUCT(TRANSPOSE($C626:$N626),O$590:O$601)</f>
        <v>#VALUE!</v>
      </c>
      <c r="S626" t="e">
        <f t="array" ref="S626">SUMPRODUCT(TRANSPOSE($C626:$N626),P$590:P$601)</f>
        <v>#VALUE!</v>
      </c>
    </row>
    <row r="627" spans="1:19" hidden="1" outlineLevel="1">
      <c r="A627">
        <f>'Practice Inputs'!A46</f>
        <v>0</v>
      </c>
      <c r="B627">
        <f>_xlfn.XLOOKUP(A627,'Practice Inputs'!$A$108:$A$127,'Practice Inputs'!$E$108:$E$127,0)</f>
        <v>0</v>
      </c>
      <c r="C627">
        <f>SUMIF($B$96:$B$99, $A627,$D$96:$D$99)/60/_xlfn.XLOOKUP(A627,'Practice Inputs'!$A$28:$A$47,'Practice Inputs'!$L$28:$L$47,1920)*IF($B$590="Yes",1,0)</f>
        <v>0</v>
      </c>
      <c r="D627">
        <f>SUMIF($B$159:$B$163,$A627,$D$159:$D$163)/60/_xlfn.XLOOKUP(A627,'Practice Inputs'!$A$28:$A$47,'Practice Inputs'!$L$28:$L$47,1920)*IF($B$591="Yes",1,0)</f>
        <v>0</v>
      </c>
      <c r="F627" t="e">
        <f>SUMIF($B$230:$B$246,$A627,$D$230:$D$246)/60/_xlfn.XLOOKUP(A627,'Practice Inputs'!$A$28:$A$47,'Practice Inputs'!$L$28:$L$47,1920)*IF($B$593="Yes",1,0)</f>
        <v>#VALUE!</v>
      </c>
      <c r="G627">
        <f>SUMIF($B$315:$B$334,$A627,$D$315:$D$334)/60/_xlfn.XLOOKUP(A627,'Practice Inputs'!$A$28:$A$47,'Practice Inputs'!$L$28:$L$47,1920)*IF($B$594="Yes",1,0)</f>
        <v>0</v>
      </c>
      <c r="H627">
        <f>SUMIF($B$376:$B$381,$A627,$D$376:$D$381)/60/_xlfn.XLOOKUP(A627,'Practice Inputs'!$A$28:$A$47,'Practice Inputs'!$L$28:$L$47,1920)*IF($B$595="Yes",1,0)</f>
        <v>0</v>
      </c>
      <c r="I627">
        <f>SUMIF($B$417:$B$423,$A627,$D$417:$D$423)/60/_xlfn.XLOOKUP(A627,'Practice Inputs'!$A$28:$A$47,'Practice Inputs'!$L$28:$L$47,1920)*IF($B$596="Yes",1,0)</f>
        <v>0</v>
      </c>
      <c r="K627">
        <f>SUMIF($B$452:$B$454,$A627,$D$452:$D$454)/60/_xlfn.XLOOKUP(A627,'Practice Inputs'!$A$28:$A$47,'Practice Inputs'!$L$28:$L$47,1920)*IF($B$598="Yes",1,0)</f>
        <v>0</v>
      </c>
      <c r="L627">
        <f>SUMIF($B$481:$B$503,$A627,$D$481:$D$503)/60/_xlfn.XLOOKUP(A627,'Practice Inputs'!$A$28:$A$47,'Practice Inputs'!$L$28:$L$47,1920)*IF($B$599="Yes",1,0)</f>
        <v>0</v>
      </c>
      <c r="M627">
        <f>SUMIF($B$569:$B$581,$A627,$D$569:$D$581)/60/_xlfn.XLOOKUP(A627,'Practice Inputs'!$A$28:$A$47,'Practice Inputs'!$L$28:$L$47,1920)*IF($B$600="Yes",1,0)</f>
        <v>0</v>
      </c>
      <c r="N627">
        <f>SUMIF($B$526:$B$528,$A627,$D$526:$D$528)/60/_xlfn.XLOOKUP(A627,'Practice Inputs'!$A$28:$A$47,'Practice Inputs'!$L$28:$L$47,1920)*IF($B$601="Yes",1,0)</f>
        <v>0</v>
      </c>
      <c r="O627" t="e">
        <f t="array" ref="O627">SUMPRODUCT(TRANSPOSE($C627:$N627),L$590:L$601)</f>
        <v>#VALUE!</v>
      </c>
      <c r="P627" t="e">
        <f t="array" ref="P627">SUMPRODUCT(TRANSPOSE($C627:$N627),M$590:M$601)</f>
        <v>#VALUE!</v>
      </c>
      <c r="Q627" t="e">
        <f t="array" ref="Q627">SUMPRODUCT(TRANSPOSE($C627:$N627),N$590:N$601)</f>
        <v>#VALUE!</v>
      </c>
      <c r="R627" t="e">
        <f t="array" ref="R627">SUMPRODUCT(TRANSPOSE($C627:$N627),O$590:O$601)</f>
        <v>#VALUE!</v>
      </c>
      <c r="S627" t="e">
        <f t="array" ref="S627">SUMPRODUCT(TRANSPOSE($C627:$N627),P$590:P$601)</f>
        <v>#VALUE!</v>
      </c>
    </row>
    <row r="628" spans="1:19" hidden="1" outlineLevel="1">
      <c r="A628">
        <f>'Practice Inputs'!A47</f>
        <v>0</v>
      </c>
      <c r="B628">
        <f>_xlfn.XLOOKUP(A628,'Practice Inputs'!$A$108:$A$127,'Practice Inputs'!$E$108:$E$127,0)</f>
        <v>0</v>
      </c>
      <c r="C628">
        <f>SUMIF($B$96:$B$99, $A628,$D$96:$D$99)/60/_xlfn.XLOOKUP(A628,'Practice Inputs'!$A$28:$A$47,'Practice Inputs'!$L$28:$L$47,1920)*IF($B$590="Yes",1,0)</f>
        <v>0</v>
      </c>
      <c r="D628">
        <f>SUMIF($B$159:$B$163,$A628,$D$159:$D$163)/60/_xlfn.XLOOKUP(A628,'Practice Inputs'!$A$28:$A$47,'Practice Inputs'!$L$28:$L$47,1920)*IF($B$591="Yes",1,0)</f>
        <v>0</v>
      </c>
      <c r="F628" t="e">
        <f>SUMIF($B$230:$B$246,$A628,$D$230:$D$246)/60/_xlfn.XLOOKUP(A628,'Practice Inputs'!$A$28:$A$47,'Practice Inputs'!$L$28:$L$47,1920)*IF($B$593="Yes",1,0)</f>
        <v>#VALUE!</v>
      </c>
      <c r="G628">
        <f>SUMIF($B$315:$B$334,$A628,$D$315:$D$334)/60/_xlfn.XLOOKUP(A628,'Practice Inputs'!$A$28:$A$47,'Practice Inputs'!$L$28:$L$47,1920)*IF($B$594="Yes",1,0)</f>
        <v>0</v>
      </c>
      <c r="H628">
        <f>SUMIF($B$376:$B$381,$A628,$D$376:$D$381)/60/_xlfn.XLOOKUP(A628,'Practice Inputs'!$A$28:$A$47,'Practice Inputs'!$L$28:$L$47,1920)*IF($B$595="Yes",1,0)</f>
        <v>0</v>
      </c>
      <c r="I628">
        <f>SUMIF($B$417:$B$423,$A628,$D$417:$D$423)/60/_xlfn.XLOOKUP(A628,'Practice Inputs'!$A$28:$A$47,'Practice Inputs'!$L$28:$L$47,1920)*IF($B$596="Yes",1,0)</f>
        <v>0</v>
      </c>
      <c r="K628">
        <f>SUMIF($B$452:$B$454,$A628,$D$452:$D$454)/60/_xlfn.XLOOKUP(A628,'Practice Inputs'!$A$28:$A$47,'Practice Inputs'!$L$28:$L$47,1920)*IF($B$598="Yes",1,0)</f>
        <v>0</v>
      </c>
      <c r="L628">
        <f>SUMIF($B$481:$B$503,$A628,$D$481:$D$503)/60/_xlfn.XLOOKUP(A628,'Practice Inputs'!$A$28:$A$47,'Practice Inputs'!$L$28:$L$47,1920)*IF($B$599="Yes",1,0)</f>
        <v>0</v>
      </c>
      <c r="M628">
        <f>SUMIF($B$569:$B$581,$A628,$D$569:$D$581)/60/_xlfn.XLOOKUP(A628,'Practice Inputs'!$A$28:$A$47,'Practice Inputs'!$L$28:$L$47,1920)*IF($B$600="Yes",1,0)</f>
        <v>0</v>
      </c>
      <c r="N628">
        <f>SUMIF($B$526:$B$528,$A628,$D$526:$D$528)/60/_xlfn.XLOOKUP(A628,'Practice Inputs'!$A$28:$A$47,'Practice Inputs'!$L$28:$L$47,1920)*IF($B$601="Yes",1,0)</f>
        <v>0</v>
      </c>
      <c r="O628" t="e" cm="1">
        <f t="array" ref="O628">SUMPRODUCT(TRANSPOSE($C628:$N628),L$590:L$601)</f>
        <v>#VALUE!</v>
      </c>
      <c r="P628" t="e" cm="1">
        <f t="array" ref="P628">SUMPRODUCT(TRANSPOSE($C628:$N628),M$590:M$601)</f>
        <v>#VALUE!</v>
      </c>
      <c r="Q628" t="e" cm="1">
        <f t="array" ref="Q628">SUMPRODUCT(TRANSPOSE($C628:$N628),N$590:N$601)</f>
        <v>#VALUE!</v>
      </c>
      <c r="R628" t="e" cm="1">
        <f t="array" ref="R628">SUMPRODUCT(TRANSPOSE($C628:$N628),O$590:O$601)</f>
        <v>#VALUE!</v>
      </c>
      <c r="S628" t="e" cm="1">
        <f t="array" ref="S628">SUMPRODUCT(TRANSPOSE($C628:$N628),P$590:P$601)</f>
        <v>#VALUE!</v>
      </c>
    </row>
    <row r="629" spans="1:19" hidden="1" outlineLevel="1">
      <c r="A629" t="s">
        <v>92</v>
      </c>
      <c r="C629">
        <f>SUM(C609:C628)</f>
        <v>0</v>
      </c>
      <c r="D629">
        <f t="shared" ref="D629:N629" si="174">SUM(D609:D628)</f>
        <v>0</v>
      </c>
      <c r="E629">
        <f t="shared" si="174"/>
        <v>0</v>
      </c>
      <c r="F629" t="e">
        <f t="shared" si="174"/>
        <v>#VALUE!</v>
      </c>
      <c r="G629">
        <f t="shared" si="174"/>
        <v>0</v>
      </c>
      <c r="H629">
        <f t="shared" si="174"/>
        <v>0</v>
      </c>
      <c r="I629">
        <f t="shared" si="174"/>
        <v>0</v>
      </c>
      <c r="J629">
        <f t="shared" si="174"/>
        <v>0</v>
      </c>
      <c r="K629">
        <f t="shared" si="174"/>
        <v>0</v>
      </c>
      <c r="L629">
        <f t="shared" si="174"/>
        <v>0</v>
      </c>
      <c r="M629">
        <f t="shared" si="174"/>
        <v>0</v>
      </c>
      <c r="N629">
        <f t="shared" si="174"/>
        <v>0</v>
      </c>
      <c r="O629" t="e">
        <f>SUM(O609:O628)</f>
        <v>#VALUE!</v>
      </c>
      <c r="P629" t="e">
        <f t="shared" ref="P629:S629" si="175">SUM(P609:P628)</f>
        <v>#VALUE!</v>
      </c>
      <c r="Q629" t="e">
        <f t="shared" si="175"/>
        <v>#VALUE!</v>
      </c>
      <c r="R629" t="e">
        <f t="shared" si="175"/>
        <v>#VALUE!</v>
      </c>
      <c r="S629" t="e">
        <f t="shared" si="175"/>
        <v>#VALUE!</v>
      </c>
    </row>
    <row r="630" spans="1:19" hidden="1" outlineLevel="1">
      <c r="A630" t="s">
        <v>543</v>
      </c>
    </row>
    <row r="631" spans="1:19" hidden="1" outlineLevel="1">
      <c r="C631" s="27"/>
      <c r="D631" s="27"/>
      <c r="E631" s="27"/>
      <c r="F631" s="27"/>
      <c r="G631" s="27"/>
      <c r="H631" s="27"/>
      <c r="I631" s="27"/>
      <c r="J631" s="27"/>
      <c r="K631" s="27"/>
      <c r="L631" s="27"/>
      <c r="M631" s="27"/>
      <c r="N631" s="27"/>
    </row>
    <row r="632" spans="1:19" hidden="1" outlineLevel="1"/>
    <row r="633" spans="1:19" hidden="1" outlineLevel="1">
      <c r="A633" t="s">
        <v>91</v>
      </c>
      <c r="C633">
        <f>SUMPRODUCT($B$609:$B$628,C609:C628)-SUM(C609:C611)</f>
        <v>0</v>
      </c>
      <c r="D633">
        <f t="shared" ref="D633:N633" si="176">SUMPRODUCT($B$609:$B$628,D609:D628)-SUM(D609:D611)</f>
        <v>0</v>
      </c>
      <c r="E633">
        <f t="shared" si="176"/>
        <v>0</v>
      </c>
      <c r="F633" t="e">
        <f t="shared" si="176"/>
        <v>#VALUE!</v>
      </c>
      <c r="G633">
        <f t="shared" si="176"/>
        <v>0</v>
      </c>
      <c r="H633">
        <f t="shared" si="176"/>
        <v>0</v>
      </c>
      <c r="I633">
        <f t="shared" si="176"/>
        <v>0</v>
      </c>
      <c r="J633">
        <f t="shared" si="176"/>
        <v>0</v>
      </c>
      <c r="K633">
        <f t="shared" si="176"/>
        <v>0</v>
      </c>
      <c r="L633">
        <f t="shared" si="176"/>
        <v>0</v>
      </c>
      <c r="M633">
        <f>SUMPRODUCT($B$609:$B$628,M609:M628)-SUM(M609:M611)</f>
        <v>0</v>
      </c>
      <c r="N633">
        <f t="shared" si="176"/>
        <v>0</v>
      </c>
    </row>
    <row r="634" spans="1:19" hidden="1" outlineLevel="1">
      <c r="A634" t="s">
        <v>544</v>
      </c>
      <c r="C634">
        <f>C629-SUM(C609:C611,C633)</f>
        <v>0</v>
      </c>
      <c r="D634">
        <f t="shared" ref="D634:N634" si="177">D629-SUM(D609:D611,D633)</f>
        <v>0</v>
      </c>
      <c r="E634">
        <f t="shared" si="177"/>
        <v>0</v>
      </c>
      <c r="F634" t="e">
        <f t="shared" si="177"/>
        <v>#VALUE!</v>
      </c>
      <c r="G634">
        <f t="shared" si="177"/>
        <v>0</v>
      </c>
      <c r="H634">
        <f t="shared" si="177"/>
        <v>0</v>
      </c>
      <c r="I634">
        <f t="shared" si="177"/>
        <v>0</v>
      </c>
      <c r="J634">
        <f t="shared" si="177"/>
        <v>0</v>
      </c>
      <c r="K634">
        <f t="shared" si="177"/>
        <v>0</v>
      </c>
      <c r="L634">
        <f t="shared" si="177"/>
        <v>0</v>
      </c>
      <c r="M634">
        <f>M629-SUM(M609:M611,M633)</f>
        <v>0</v>
      </c>
      <c r="N634">
        <f t="shared" si="177"/>
        <v>0</v>
      </c>
    </row>
    <row r="635" spans="1:19" hidden="1" outlineLevel="1"/>
    <row r="636" spans="1:19" collapsed="1"/>
  </sheetData>
  <sheetProtection sheet="1" objects="1" scenarios="1"/>
  <protectedRanges>
    <protectedRange sqref="B462:B464 A469:B471 A474:B476 B511 A514:B516 A519:B521 B535:B536 C542:H542 C544:H545 C551:D552 A556:B558 A561:B563" name="UserInput4"/>
    <protectedRange sqref="C191:H191 C193:H198 C207:C212 E207:E212 A216:B218 A222:B224 B254:B255 A259:C263 B267 B270 A274:C276 A279:C283 B288:B289" name="UserInput2"/>
    <protectedRange sqref="B13:B17 B23:B24 B29:B30 B33:B34 B38:B39 B45 B41 A49:B51 A54:B56 B111 B114:B117 B122:D125 A133:B135 A139:B140 C175:F180" name="UserInput"/>
    <protectedRange sqref="A292:B298 A301:B303 A306:B308 B348:B350 A354:B356 A359:B361 B400:B401 A404:B406 A409:B411 A438:B440 A444:B447" name="UserInput3"/>
  </protectedRanges>
  <phoneticPr fontId="7" type="noConversion"/>
  <dataValidations count="6">
    <dataValidation type="list" allowBlank="1" showInputMessage="1" showErrorMessage="1" sqref="A274:A276" xr:uid="{75964433-3F3F-4AF8-B740-0502EBB1FE1A}">
      <formula1>$A$253:$A$272</formula1>
    </dataValidation>
    <dataValidation type="list" allowBlank="1" showInputMessage="1" showErrorMessage="1" sqref="A393:A399" xr:uid="{4E4F96CF-2FD4-41D6-B1F1-0FFAAA991814}">
      <formula1>$A$252:$A$270</formula1>
    </dataValidation>
    <dataValidation type="list" allowBlank="1" showInputMessage="1" showErrorMessage="1" sqref="B388" xr:uid="{37F561A2-2870-4399-B721-3D4C79A2C4DD}">
      <formula1>"Additional, Flexed"</formula1>
    </dataValidation>
    <dataValidation type="list" allowBlank="1" showInputMessage="1" showErrorMessage="1" sqref="C481:C502 C452 C376:C379 C155:C162 C315:C339 C98 C91:C95 C81:C89 C230:C244 C569:C579" xr:uid="{534E5F02-BCB6-4154-889B-68413A701EE3}">
      <formula1>"Repurpose, Compensate, Add"</formula1>
    </dataValidation>
    <dataValidation type="list" allowBlank="1" showInputMessage="1" showErrorMessage="1" sqref="C207:C212 C551:C552" xr:uid="{656BC47B-3169-4E70-B1E8-6E5610284518}">
      <formula1>B$242:B$244</formula1>
    </dataValidation>
    <dataValidation type="list" allowBlank="1" showInputMessage="1" showErrorMessage="1" sqref="B111" xr:uid="{B7EE790C-7B14-428E-BDB7-D6BB0DB5FE83}">
      <formula1>$A$114:$A$117</formula1>
    </dataValidation>
  </dataValidations>
  <hyperlinks>
    <hyperlink ref="A183" location="bookmark_consulting_practitioners" display="consulting practitioners" xr:uid="{F3CAFFDE-C76C-4A34-952E-3EAF8384EFFC}"/>
    <hyperlink ref="B130" location="bookmark_salary_inputs" display="Salary inputs" xr:uid="{BB473707-46D5-433F-A7AD-29617D2E0C5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9ED5EA-1C1C-4CAA-B07F-0DB595EAEC68}">
          <x14:formula1>
            <xm:f>'Practice Inputs'!$A$108:$A$127</xm:f>
          </x14:formula1>
          <xm:sqref>B376:B380 C191:H191 C542:H542 B580 B230:B235 B245 B569:B570 B526:B527 C526:E528 B81:B89 B481:B501 B455:B456 B417:B422 B452 D424 L282:L283 B155:B162 B91:B98 J382</xm:sqref>
        </x14:dataValidation>
        <x14:dataValidation type="list" allowBlank="1" showInputMessage="1" showErrorMessage="1" xr:uid="{F267F229-0483-4AB3-B42D-CE63423D5244}">
          <x14:formula1>
            <xm:f>'Practice Inputs'!$A$28:$A$47</xm:f>
          </x14:formula1>
          <xm:sqref>A292:A298 A259:A263 A279:A283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0332-8DCF-4886-807D-64F59156811C}">
  <dimension ref="A1:AE209"/>
  <sheetViews>
    <sheetView topLeftCell="A98" zoomScale="75" zoomScaleNormal="75" workbookViewId="0">
      <selection activeCell="E142" sqref="E142"/>
    </sheetView>
  </sheetViews>
  <sheetFormatPr defaultRowHeight="14.6"/>
  <cols>
    <col min="1" max="1" width="47.53515625" customWidth="1"/>
    <col min="3" max="3" width="10" bestFit="1" customWidth="1"/>
    <col min="4" max="4" width="11.07421875" customWidth="1"/>
    <col min="5" max="5" width="12.53515625" customWidth="1"/>
    <col min="6" max="7" width="10.4609375" bestFit="1" customWidth="1"/>
    <col min="9" max="9" width="11.84375" customWidth="1"/>
    <col min="10" max="10" width="18" bestFit="1" customWidth="1"/>
    <col min="13" max="13" width="10.4609375" customWidth="1"/>
    <col min="15" max="15" width="11.4609375" customWidth="1"/>
    <col min="16" max="20" width="11.84375" bestFit="1" customWidth="1"/>
    <col min="21" max="21" width="12.53515625" bestFit="1" customWidth="1"/>
    <col min="27" max="27" width="11.84375" customWidth="1"/>
  </cols>
  <sheetData>
    <row r="1" spans="1:11" ht="26.15">
      <c r="A1" s="14" t="s">
        <v>545</v>
      </c>
      <c r="B1" s="12"/>
      <c r="C1" s="12"/>
      <c r="D1" s="12"/>
      <c r="E1" s="12"/>
    </row>
    <row r="2" spans="1:11">
      <c r="I2" t="s">
        <v>546</v>
      </c>
    </row>
    <row r="3" spans="1:11">
      <c r="B3" s="24" t="s">
        <v>547</v>
      </c>
      <c r="C3" s="267" t="s">
        <v>73</v>
      </c>
      <c r="I3" s="24" t="s">
        <v>548</v>
      </c>
      <c r="J3" s="24" t="s">
        <v>549</v>
      </c>
      <c r="K3" s="24" t="s">
        <v>550</v>
      </c>
    </row>
    <row r="4" spans="1:11">
      <c r="A4" t="s">
        <v>551</v>
      </c>
      <c r="B4" s="30">
        <f>J5</f>
        <v>3230.5</v>
      </c>
      <c r="C4" s="123">
        <f>used_esu</f>
        <v>5000</v>
      </c>
      <c r="F4" s="24"/>
      <c r="H4" t="s">
        <v>552</v>
      </c>
      <c r="I4">
        <v>0</v>
      </c>
      <c r="J4">
        <v>2095</v>
      </c>
      <c r="K4">
        <v>4367</v>
      </c>
    </row>
    <row r="5" spans="1:11">
      <c r="H5" t="s">
        <v>553</v>
      </c>
      <c r="I5">
        <f>(I6-I4)/2+I4</f>
        <v>1047</v>
      </c>
      <c r="J5">
        <f>(J6-J4)/2+J4</f>
        <v>3230.5</v>
      </c>
      <c r="K5">
        <f>(K6-K4)/2+K4</f>
        <v>6183.5</v>
      </c>
    </row>
    <row r="6" spans="1:11">
      <c r="A6" s="29" t="s">
        <v>554</v>
      </c>
      <c r="B6" s="30"/>
      <c r="C6" s="268"/>
      <c r="E6" s="268" t="s">
        <v>555</v>
      </c>
      <c r="H6" t="s">
        <v>556</v>
      </c>
      <c r="I6">
        <f>J4-1</f>
        <v>2094</v>
      </c>
      <c r="J6">
        <f>K4-1</f>
        <v>4366</v>
      </c>
      <c r="K6">
        <v>8000</v>
      </c>
    </row>
    <row r="7" spans="1:11">
      <c r="A7" t="s">
        <v>557</v>
      </c>
      <c r="B7" s="153">
        <v>1457.3</v>
      </c>
      <c r="C7" s="189">
        <f>MIN(I10+C4*H10,2000)/E7</f>
        <v>1675.1041376006456</v>
      </c>
      <c r="D7" t="s">
        <v>136</v>
      </c>
      <c r="E7" s="47">
        <f>_xlfn.XLOOKUP(input_complexity,$B$46:$D$46,$B$47:$D$47)</f>
        <v>1</v>
      </c>
      <c r="I7">
        <v>1120.3</v>
      </c>
      <c r="J7">
        <v>1457.3</v>
      </c>
      <c r="K7">
        <v>1826.7</v>
      </c>
    </row>
    <row r="8" spans="1:11">
      <c r="A8" t="s">
        <v>558</v>
      </c>
      <c r="B8" s="153">
        <f>1000/0.54</f>
        <v>1851.8518518518517</v>
      </c>
      <c r="C8" s="189">
        <f>C7/B7*B8/E8</f>
        <v>2128.6246478147632</v>
      </c>
      <c r="D8" t="s">
        <v>90</v>
      </c>
      <c r="E8" s="47">
        <f>_xlfn.XLOOKUP(input_complexity,$B$46:$D$46,$B$47:$D$47)</f>
        <v>1</v>
      </c>
      <c r="I8">
        <f>I10+I5*H10</f>
        <v>1134.2664932283046</v>
      </c>
      <c r="J8">
        <f>I10+J5*H10</f>
        <v>1433.0064366856805</v>
      </c>
      <c r="K8">
        <f>I10+K5*H10</f>
        <v>1837.0270700860151</v>
      </c>
    </row>
    <row r="9" spans="1:11">
      <c r="A9" t="s">
        <v>559</v>
      </c>
      <c r="B9" s="153">
        <f>10000/3.5</f>
        <v>2857.1428571428573</v>
      </c>
      <c r="C9" s="189">
        <f>C7/B7*B9/E9</f>
        <v>3284.1637423427783</v>
      </c>
      <c r="D9" t="s">
        <v>168</v>
      </c>
      <c r="E9" s="47">
        <f>_xlfn.XLOOKUP(input_complexity,$B$46:$D$46,$B$47:$D$47)</f>
        <v>1</v>
      </c>
      <c r="H9" t="s">
        <v>560</v>
      </c>
      <c r="I9" t="s">
        <v>561</v>
      </c>
    </row>
    <row r="10" spans="1:11">
      <c r="A10" s="16" t="s">
        <v>562</v>
      </c>
      <c r="B10" s="153">
        <f>10000/5.85</f>
        <v>1709.4017094017095</v>
      </c>
      <c r="C10" s="189">
        <f>C7/B7*B10/E10</f>
        <v>1964.884290290551</v>
      </c>
      <c r="D10" t="s">
        <v>137</v>
      </c>
      <c r="E10" s="47">
        <f>_xlfn.XLOOKUP(input_complexity,$B$46:$D$46,$B$47:$D$47)</f>
        <v>1</v>
      </c>
      <c r="H10" cm="1">
        <f t="array" ref="H10:I10">LINEST(I7:K7,I5:K5)</f>
        <v>0.13681701097200633</v>
      </c>
      <c r="I10">
        <v>991.01908274061407</v>
      </c>
    </row>
    <row r="11" spans="1:11">
      <c r="A11" s="16" t="s">
        <v>563</v>
      </c>
      <c r="B11" s="153">
        <v>10000</v>
      </c>
      <c r="C11" s="189">
        <v>10000</v>
      </c>
      <c r="D11" t="s">
        <v>285</v>
      </c>
      <c r="E11" s="47">
        <v>1</v>
      </c>
    </row>
    <row r="13" spans="1:11">
      <c r="A13" t="s">
        <v>564</v>
      </c>
    </row>
    <row r="14" spans="1:11">
      <c r="A14" t="s">
        <v>565</v>
      </c>
    </row>
    <row r="15" spans="1:11">
      <c r="A15" t="s">
        <v>566</v>
      </c>
    </row>
    <row r="16" spans="1:11">
      <c r="A16" s="87" t="s">
        <v>567</v>
      </c>
    </row>
    <row r="17" spans="1:20">
      <c r="A17" t="s">
        <v>568</v>
      </c>
    </row>
    <row r="19" spans="1:20">
      <c r="A19" s="29" t="s">
        <v>569</v>
      </c>
    </row>
    <row r="20" spans="1:20">
      <c r="A20" s="302"/>
      <c r="B20" s="51"/>
      <c r="C20" t="s">
        <v>36</v>
      </c>
      <c r="D20" t="s">
        <v>36</v>
      </c>
      <c r="E20" t="s">
        <v>36</v>
      </c>
      <c r="F20" t="s">
        <v>36</v>
      </c>
      <c r="G20" t="s">
        <v>36</v>
      </c>
      <c r="H20" t="s">
        <v>36</v>
      </c>
      <c r="I20" t="s">
        <v>37</v>
      </c>
      <c r="J20" t="s">
        <v>37</v>
      </c>
      <c r="K20" t="s">
        <v>37</v>
      </c>
      <c r="L20" t="s">
        <v>37</v>
      </c>
      <c r="M20" t="s">
        <v>37</v>
      </c>
      <c r="N20" t="s">
        <v>37</v>
      </c>
      <c r="O20" t="s">
        <v>34</v>
      </c>
      <c r="P20" t="s">
        <v>34</v>
      </c>
      <c r="Q20" t="s">
        <v>34</v>
      </c>
      <c r="R20" t="s">
        <v>34</v>
      </c>
      <c r="S20" t="s">
        <v>34</v>
      </c>
      <c r="T20" t="s">
        <v>34</v>
      </c>
    </row>
    <row r="21" spans="1:20">
      <c r="B21" t="s">
        <v>570</v>
      </c>
      <c r="C21">
        <v>1</v>
      </c>
      <c r="D21">
        <v>2</v>
      </c>
      <c r="E21">
        <v>3</v>
      </c>
      <c r="F21">
        <v>4</v>
      </c>
      <c r="G21">
        <v>5</v>
      </c>
      <c r="H21" t="s">
        <v>268</v>
      </c>
      <c r="I21">
        <v>1</v>
      </c>
      <c r="J21">
        <v>2</v>
      </c>
      <c r="K21">
        <v>3</v>
      </c>
      <c r="L21">
        <v>4</v>
      </c>
      <c r="M21">
        <v>5</v>
      </c>
      <c r="N21" t="s">
        <v>268</v>
      </c>
      <c r="O21">
        <v>1</v>
      </c>
      <c r="P21">
        <v>2</v>
      </c>
      <c r="Q21">
        <v>3</v>
      </c>
      <c r="R21">
        <v>4</v>
      </c>
      <c r="S21">
        <v>5</v>
      </c>
      <c r="T21" t="s">
        <v>268</v>
      </c>
    </row>
    <row r="22" spans="1:20">
      <c r="A22" t="s">
        <v>571</v>
      </c>
      <c r="B22" t="s">
        <v>269</v>
      </c>
      <c r="C22">
        <v>29379</v>
      </c>
      <c r="D22">
        <v>26089</v>
      </c>
      <c r="E22">
        <v>24189</v>
      </c>
      <c r="F22">
        <v>22132</v>
      </c>
      <c r="G22">
        <v>20063</v>
      </c>
      <c r="H22">
        <v>640</v>
      </c>
      <c r="I22">
        <v>50523</v>
      </c>
      <c r="J22">
        <v>51430</v>
      </c>
      <c r="K22">
        <v>55271</v>
      </c>
      <c r="L22">
        <v>60643</v>
      </c>
      <c r="M22">
        <v>72638</v>
      </c>
      <c r="N22">
        <v>2585</v>
      </c>
      <c r="O22">
        <v>1693</v>
      </c>
      <c r="P22">
        <v>2260</v>
      </c>
      <c r="Q22">
        <v>2305</v>
      </c>
      <c r="R22">
        <v>2601</v>
      </c>
      <c r="S22">
        <v>3137</v>
      </c>
      <c r="T22">
        <v>112</v>
      </c>
    </row>
    <row r="23" spans="1:20">
      <c r="B23" t="s">
        <v>270</v>
      </c>
      <c r="C23">
        <v>77755</v>
      </c>
      <c r="D23">
        <v>60997</v>
      </c>
      <c r="E23">
        <v>50464</v>
      </c>
      <c r="F23">
        <v>41135</v>
      </c>
      <c r="G23">
        <v>38498</v>
      </c>
      <c r="H23">
        <v>1945</v>
      </c>
      <c r="I23">
        <v>134819</v>
      </c>
      <c r="J23">
        <v>122423</v>
      </c>
      <c r="K23">
        <v>118076</v>
      </c>
      <c r="L23">
        <v>119941</v>
      </c>
      <c r="M23">
        <v>145034</v>
      </c>
      <c r="N23">
        <v>7141</v>
      </c>
      <c r="O23">
        <v>4692</v>
      </c>
      <c r="P23">
        <v>5203</v>
      </c>
      <c r="Q23">
        <v>5234</v>
      </c>
      <c r="R23">
        <v>5572</v>
      </c>
      <c r="S23">
        <v>6623</v>
      </c>
      <c r="T23">
        <v>395</v>
      </c>
    </row>
    <row r="24" spans="1:20">
      <c r="B24" t="s">
        <v>271</v>
      </c>
      <c r="C24">
        <v>70515</v>
      </c>
      <c r="D24">
        <v>57237</v>
      </c>
      <c r="E24">
        <v>51340</v>
      </c>
      <c r="F24">
        <v>48798</v>
      </c>
      <c r="G24">
        <v>38788</v>
      </c>
      <c r="H24">
        <v>2223</v>
      </c>
      <c r="I24">
        <v>116566</v>
      </c>
      <c r="J24">
        <v>108196</v>
      </c>
      <c r="K24">
        <v>109142</v>
      </c>
      <c r="L24">
        <v>122069</v>
      </c>
      <c r="M24">
        <v>136008</v>
      </c>
      <c r="N24">
        <v>6587</v>
      </c>
      <c r="O24">
        <v>3892</v>
      </c>
      <c r="P24">
        <v>4234</v>
      </c>
      <c r="Q24">
        <v>4344</v>
      </c>
      <c r="R24">
        <v>5079</v>
      </c>
      <c r="S24">
        <v>6205</v>
      </c>
      <c r="T24">
        <v>314</v>
      </c>
    </row>
    <row r="25" spans="1:20">
      <c r="B25" t="s">
        <v>272</v>
      </c>
      <c r="C25">
        <v>145036</v>
      </c>
      <c r="D25">
        <v>139400</v>
      </c>
      <c r="E25">
        <v>132744</v>
      </c>
      <c r="F25">
        <v>113665</v>
      </c>
      <c r="G25">
        <v>86021</v>
      </c>
      <c r="H25">
        <v>4729</v>
      </c>
      <c r="I25">
        <v>244082</v>
      </c>
      <c r="J25">
        <v>259973</v>
      </c>
      <c r="K25">
        <v>277547</v>
      </c>
      <c r="L25">
        <v>286067</v>
      </c>
      <c r="M25">
        <v>282633</v>
      </c>
      <c r="N25">
        <v>13739</v>
      </c>
      <c r="O25">
        <v>7129</v>
      </c>
      <c r="P25">
        <v>9260</v>
      </c>
      <c r="Q25">
        <v>9898</v>
      </c>
      <c r="R25">
        <v>10981</v>
      </c>
      <c r="S25">
        <v>10993</v>
      </c>
      <c r="T25">
        <v>574</v>
      </c>
    </row>
    <row r="26" spans="1:20">
      <c r="B26" t="s">
        <v>273</v>
      </c>
      <c r="C26">
        <v>167965</v>
      </c>
      <c r="D26">
        <v>128287</v>
      </c>
      <c r="E26">
        <v>102918</v>
      </c>
      <c r="F26">
        <v>78772</v>
      </c>
      <c r="G26">
        <v>57388</v>
      </c>
      <c r="H26">
        <v>7625</v>
      </c>
      <c r="I26">
        <v>287875</v>
      </c>
      <c r="J26">
        <v>252225</v>
      </c>
      <c r="K26">
        <v>234097</v>
      </c>
      <c r="L26">
        <v>222684</v>
      </c>
      <c r="M26">
        <v>212115</v>
      </c>
      <c r="N26">
        <v>20560</v>
      </c>
      <c r="O26">
        <v>10698</v>
      </c>
      <c r="P26">
        <v>11168</v>
      </c>
      <c r="Q26">
        <v>10807</v>
      </c>
      <c r="R26">
        <v>11113</v>
      </c>
      <c r="S26">
        <v>10184</v>
      </c>
      <c r="T26">
        <v>823</v>
      </c>
    </row>
    <row r="27" spans="1:20">
      <c r="B27" t="s">
        <v>274</v>
      </c>
      <c r="C27">
        <v>100745</v>
      </c>
      <c r="D27">
        <v>86356</v>
      </c>
      <c r="E27">
        <v>71011</v>
      </c>
      <c r="F27">
        <v>55635</v>
      </c>
      <c r="G27">
        <v>33370</v>
      </c>
      <c r="H27">
        <v>4176</v>
      </c>
      <c r="I27">
        <v>188351</v>
      </c>
      <c r="J27">
        <v>184409</v>
      </c>
      <c r="K27">
        <v>176218</v>
      </c>
      <c r="L27">
        <v>170385</v>
      </c>
      <c r="M27">
        <v>139440</v>
      </c>
      <c r="N27">
        <v>11539</v>
      </c>
      <c r="O27">
        <v>8969</v>
      </c>
      <c r="P27">
        <v>9957</v>
      </c>
      <c r="Q27">
        <v>9695</v>
      </c>
      <c r="R27">
        <v>10121</v>
      </c>
      <c r="S27">
        <v>7499</v>
      </c>
      <c r="T27">
        <v>513</v>
      </c>
    </row>
    <row r="28" spans="1:20">
      <c r="B28" t="s">
        <v>269</v>
      </c>
      <c r="C28" s="95">
        <f t="shared" ref="C28:H33" si="0">C22/SUM($C$22:$H$27)</f>
        <v>1.3488794920180163E-2</v>
      </c>
      <c r="D28" s="95">
        <f t="shared" si="0"/>
        <v>1.1978255579583385E-2</v>
      </c>
      <c r="E28" s="95">
        <f t="shared" si="0"/>
        <v>1.110590763212628E-2</v>
      </c>
      <c r="F28" s="95">
        <f t="shared" si="0"/>
        <v>1.0161476196379297E-2</v>
      </c>
      <c r="G28" s="95">
        <f t="shared" si="0"/>
        <v>9.2115351946483754E-3</v>
      </c>
      <c r="H28" s="95">
        <f t="shared" si="0"/>
        <v>2.9384351914344613E-4</v>
      </c>
      <c r="I28" s="95">
        <f t="shared" ref="I28:N33" si="1">I22/SUM($I$22:$N$27)</f>
        <v>1.0098478302453053E-2</v>
      </c>
      <c r="J28" s="95">
        <f t="shared" si="1"/>
        <v>1.0279768404393257E-2</v>
      </c>
      <c r="K28" s="95">
        <f t="shared" si="1"/>
        <v>1.104750300367917E-2</v>
      </c>
      <c r="L28" s="95">
        <f t="shared" si="1"/>
        <v>1.2121252096978811E-2</v>
      </c>
      <c r="M28" s="95">
        <f t="shared" si="1"/>
        <v>1.4518798704225499E-2</v>
      </c>
      <c r="N28" s="95">
        <f t="shared" si="1"/>
        <v>5.1668678447125351E-4</v>
      </c>
      <c r="O28" s="95">
        <f t="shared" ref="O28:T33" si="2">O22/SUM($O$22:$T$27)</f>
        <v>7.9009879735109229E-3</v>
      </c>
      <c r="P28" s="95">
        <f t="shared" si="2"/>
        <v>1.0547095581886996E-2</v>
      </c>
      <c r="Q28" s="95">
        <f t="shared" si="2"/>
        <v>1.0757104122234304E-2</v>
      </c>
      <c r="R28" s="95">
        <f t="shared" si="2"/>
        <v>1.213849363207437E-2</v>
      </c>
      <c r="S28" s="95">
        <f t="shared" si="2"/>
        <v>1.4639928690433412E-2</v>
      </c>
      <c r="T28" s="95">
        <f t="shared" si="2"/>
        <v>5.2268792264218746E-4</v>
      </c>
    </row>
    <row r="29" spans="1:20">
      <c r="B29" t="s">
        <v>270</v>
      </c>
      <c r="C29" s="95">
        <f t="shared" si="0"/>
        <v>3.5699691923435396E-2</v>
      </c>
      <c r="D29" s="95">
        <f t="shared" si="0"/>
        <v>2.8005583026863727E-2</v>
      </c>
      <c r="E29" s="95">
        <f t="shared" si="0"/>
        <v>2.3169561484460727E-2</v>
      </c>
      <c r="F29" s="95">
        <f t="shared" si="0"/>
        <v>1.8886333062446338E-2</v>
      </c>
      <c r="G29" s="95">
        <f t="shared" si="0"/>
        <v>1.7675605937475608E-2</v>
      </c>
      <c r="H29" s="95">
        <f t="shared" si="0"/>
        <v>8.9300881989687927E-4</v>
      </c>
      <c r="I29" s="95">
        <f t="shared" si="1"/>
        <v>2.6947464447052198E-2</v>
      </c>
      <c r="J29" s="95">
        <f t="shared" si="1"/>
        <v>2.4469766427591595E-2</v>
      </c>
      <c r="K29" s="95">
        <f t="shared" si="1"/>
        <v>2.3600893138579392E-2</v>
      </c>
      <c r="L29" s="95">
        <f t="shared" si="1"/>
        <v>2.3973667162965812E-2</v>
      </c>
      <c r="M29" s="95">
        <f t="shared" si="1"/>
        <v>2.8989226730755817E-2</v>
      </c>
      <c r="N29" s="95">
        <f t="shared" si="1"/>
        <v>1.4273347496747471E-3</v>
      </c>
      <c r="O29" s="95">
        <f t="shared" si="2"/>
        <v>2.1896890473545923E-2</v>
      </c>
      <c r="P29" s="95">
        <f t="shared" si="2"/>
        <v>2.4281654120600904E-2</v>
      </c>
      <c r="Q29" s="95">
        <f t="shared" si="2"/>
        <v>2.4426326670617938E-2</v>
      </c>
      <c r="R29" s="95">
        <f t="shared" si="2"/>
        <v>2.6003724151448825E-2</v>
      </c>
      <c r="S29" s="95">
        <f t="shared" si="2"/>
        <v>3.0908590282671497E-2</v>
      </c>
      <c r="T29" s="95">
        <f t="shared" si="2"/>
        <v>1.8434082986041433E-3</v>
      </c>
    </row>
    <row r="30" spans="1:20">
      <c r="B30" t="s">
        <v>271</v>
      </c>
      <c r="C30" s="95">
        <f t="shared" si="0"/>
        <v>3.2375587113125166E-2</v>
      </c>
      <c r="D30" s="95">
        <f t="shared" si="0"/>
        <v>2.6279252351895981E-2</v>
      </c>
      <c r="E30" s="95">
        <f t="shared" si="0"/>
        <v>2.3571759801288322E-2</v>
      </c>
      <c r="F30" s="95">
        <f t="shared" si="0"/>
        <v>2.2404650073690444E-2</v>
      </c>
      <c r="G30" s="95">
        <f t="shared" si="0"/>
        <v>1.7808753782087482E-2</v>
      </c>
      <c r="H30" s="95">
        <f t="shared" si="0"/>
        <v>1.0206470985248137E-3</v>
      </c>
      <c r="I30" s="95">
        <f t="shared" si="1"/>
        <v>2.329907610006814E-2</v>
      </c>
      <c r="J30" s="95">
        <f t="shared" si="1"/>
        <v>2.1626090264081913E-2</v>
      </c>
      <c r="K30" s="95">
        <f t="shared" si="1"/>
        <v>2.1815175640526714E-2</v>
      </c>
      <c r="L30" s="95">
        <f t="shared" si="1"/>
        <v>2.4399009320549881E-2</v>
      </c>
      <c r="M30" s="95">
        <f t="shared" si="1"/>
        <v>2.7185120380025629E-2</v>
      </c>
      <c r="N30" s="95">
        <f t="shared" si="1"/>
        <v>1.3166018759428035E-3</v>
      </c>
      <c r="O30" s="95">
        <f t="shared" si="2"/>
        <v>1.8163405311816015E-2</v>
      </c>
      <c r="P30" s="95">
        <f t="shared" si="2"/>
        <v>1.975947021845555E-2</v>
      </c>
      <c r="Q30" s="95">
        <f t="shared" si="2"/>
        <v>2.0272824428193413E-2</v>
      </c>
      <c r="R30" s="95">
        <f t="shared" si="2"/>
        <v>2.3702963920532769E-2</v>
      </c>
      <c r="S30" s="95">
        <f t="shared" si="2"/>
        <v>2.8957844285667618E-2</v>
      </c>
      <c r="T30" s="95">
        <f t="shared" si="2"/>
        <v>1.4653929259789897E-3</v>
      </c>
    </row>
    <row r="31" spans="1:20">
      <c r="B31" t="s">
        <v>272</v>
      </c>
      <c r="C31" s="95">
        <f t="shared" si="0"/>
        <v>6.6590451003888829E-2</v>
      </c>
      <c r="D31" s="95">
        <f t="shared" si="0"/>
        <v>6.4002791513431856E-2</v>
      </c>
      <c r="E31" s="95">
        <f t="shared" si="0"/>
        <v>6.094681891434002E-2</v>
      </c>
      <c r="F31" s="95">
        <f t="shared" si="0"/>
        <v>5.2187068130374693E-2</v>
      </c>
      <c r="G31" s="95">
        <f t="shared" si="0"/>
        <v>3.9494864625372467E-2</v>
      </c>
      <c r="H31" s="95">
        <f t="shared" si="0"/>
        <v>2.1712281281708701E-3</v>
      </c>
      <c r="I31" s="95">
        <f t="shared" si="1"/>
        <v>4.8786825426426497E-2</v>
      </c>
      <c r="J31" s="95">
        <f t="shared" si="1"/>
        <v>5.1963099968798915E-2</v>
      </c>
      <c r="K31" s="95">
        <f t="shared" si="1"/>
        <v>5.5475770587869636E-2</v>
      </c>
      <c r="L31" s="95">
        <f t="shared" si="1"/>
        <v>5.7178738248873533E-2</v>
      </c>
      <c r="M31" s="95">
        <f t="shared" si="1"/>
        <v>5.6492354334802243E-2</v>
      </c>
      <c r="N31" s="95">
        <f t="shared" si="1"/>
        <v>2.7461352927855135E-3</v>
      </c>
      <c r="O31" s="95">
        <f t="shared" si="2"/>
        <v>3.3270019647465662E-2</v>
      </c>
      <c r="P31" s="95">
        <f t="shared" si="2"/>
        <v>4.3215090747023711E-2</v>
      </c>
      <c r="Q31" s="95">
        <f t="shared" si="2"/>
        <v>4.6192545163503317E-2</v>
      </c>
      <c r="R31" s="95">
        <f t="shared" si="2"/>
        <v>5.1246750701195179E-2</v>
      </c>
      <c r="S31" s="95">
        <f t="shared" si="2"/>
        <v>5.1302752978621129E-2</v>
      </c>
      <c r="T31" s="95">
        <f t="shared" si="2"/>
        <v>2.6787756035412105E-3</v>
      </c>
    </row>
    <row r="32" spans="1:20">
      <c r="B32" t="s">
        <v>273</v>
      </c>
      <c r="C32" s="95">
        <f t="shared" si="0"/>
        <v>7.7117854207701453E-2</v>
      </c>
      <c r="D32" s="95">
        <f t="shared" si="0"/>
        <v>5.8900474281805115E-2</v>
      </c>
      <c r="E32" s="95">
        <f t="shared" si="0"/>
        <v>4.7252792661258113E-2</v>
      </c>
      <c r="F32" s="95">
        <f t="shared" si="0"/>
        <v>3.6166627640574281E-2</v>
      </c>
      <c r="G32" s="95">
        <f t="shared" si="0"/>
        <v>2.6348581057193888E-2</v>
      </c>
      <c r="H32" s="95">
        <f t="shared" si="0"/>
        <v>3.5008700522949636E-3</v>
      </c>
      <c r="I32" s="95">
        <f t="shared" si="1"/>
        <v>5.7540119179753234E-2</v>
      </c>
      <c r="J32" s="95">
        <f t="shared" si="1"/>
        <v>5.0414438767219315E-2</v>
      </c>
      <c r="K32" s="95">
        <f t="shared" si="1"/>
        <v>4.6791035274416651E-2</v>
      </c>
      <c r="L32" s="95">
        <f t="shared" si="1"/>
        <v>4.4509818148238539E-2</v>
      </c>
      <c r="M32" s="95">
        <f t="shared" si="1"/>
        <v>4.2397298757493207E-2</v>
      </c>
      <c r="N32" s="95">
        <f t="shared" si="1"/>
        <v>4.1095088157558886E-3</v>
      </c>
      <c r="O32" s="95">
        <f t="shared" si="2"/>
        <v>4.9926030325233225E-2</v>
      </c>
      <c r="P32" s="95">
        <f t="shared" si="2"/>
        <v>5.2119452857749549E-2</v>
      </c>
      <c r="Q32" s="95">
        <f t="shared" si="2"/>
        <v>5.0434717678518926E-2</v>
      </c>
      <c r="R32" s="95">
        <f t="shared" si="2"/>
        <v>5.1862775752880619E-2</v>
      </c>
      <c r="S32" s="95">
        <f t="shared" si="2"/>
        <v>4.7527266108821756E-2</v>
      </c>
      <c r="T32" s="95">
        <f t="shared" si="2"/>
        <v>3.8408228601296453E-3</v>
      </c>
    </row>
    <row r="33" spans="1:20">
      <c r="B33" t="s">
        <v>274</v>
      </c>
      <c r="C33" s="95">
        <f t="shared" si="0"/>
        <v>4.625510208766638E-2</v>
      </c>
      <c r="D33" s="95">
        <f t="shared" si="0"/>
        <v>3.9648673342424119E-2</v>
      </c>
      <c r="E33" s="95">
        <f t="shared" si="0"/>
        <v>3.2603315840461333E-2</v>
      </c>
      <c r="F33" s="95">
        <f t="shared" si="0"/>
        <v>2.554372529304004E-2</v>
      </c>
      <c r="G33" s="95">
        <f t="shared" si="0"/>
        <v>1.5321184740338747E-2</v>
      </c>
      <c r="H33" s="95">
        <f t="shared" si="0"/>
        <v>1.917328962410986E-3</v>
      </c>
      <c r="I33" s="95">
        <f t="shared" si="1"/>
        <v>3.7647378159359798E-2</v>
      </c>
      <c r="J33" s="95">
        <f t="shared" si="1"/>
        <v>3.6859455797895319E-2</v>
      </c>
      <c r="K33" s="95">
        <f t="shared" si="1"/>
        <v>3.5222248273096848E-2</v>
      </c>
      <c r="L33" s="95">
        <f t="shared" si="1"/>
        <v>3.4056355037576223E-2</v>
      </c>
      <c r="M33" s="95">
        <f t="shared" si="1"/>
        <v>2.7871104536430016E-2</v>
      </c>
      <c r="N33" s="95">
        <f t="shared" si="1"/>
        <v>2.3064018591929573E-3</v>
      </c>
      <c r="O33" s="95">
        <f t="shared" si="2"/>
        <v>4.185703551944446E-2</v>
      </c>
      <c r="P33" s="95">
        <f t="shared" si="2"/>
        <v>4.6467889694180899E-2</v>
      </c>
      <c r="Q33" s="95">
        <f t="shared" si="2"/>
        <v>4.5245173303714352E-2</v>
      </c>
      <c r="R33" s="95">
        <f t="shared" si="2"/>
        <v>4.7233254152335528E-2</v>
      </c>
      <c r="S33" s="95">
        <f t="shared" si="2"/>
        <v>3.4996756534765749E-2</v>
      </c>
      <c r="T33" s="95">
        <f t="shared" si="2"/>
        <v>2.394097359959305E-3</v>
      </c>
    </row>
    <row r="34" spans="1:20">
      <c r="H34" s="3">
        <f>SUM(C28:H33)</f>
        <v>0.99999999999999989</v>
      </c>
      <c r="N34" s="3">
        <f>SUM(I28:N33)</f>
        <v>0.99999999999999989</v>
      </c>
      <c r="T34" s="3">
        <f>SUM(O28:T33)</f>
        <v>1</v>
      </c>
    </row>
    <row r="35" spans="1:20">
      <c r="H35" s="3"/>
      <c r="N35" s="3"/>
      <c r="T35" s="3"/>
    </row>
    <row r="36" spans="1:20">
      <c r="A36" t="s">
        <v>572</v>
      </c>
      <c r="B36">
        <v>5003057</v>
      </c>
    </row>
    <row r="37" spans="1:20">
      <c r="A37" t="s">
        <v>573</v>
      </c>
      <c r="B37">
        <v>0.32419718584057705</v>
      </c>
    </row>
    <row r="38" spans="1:20">
      <c r="A38" t="s">
        <v>574</v>
      </c>
      <c r="B38">
        <v>0.17396343875354603</v>
      </c>
    </row>
    <row r="39" spans="1:20">
      <c r="A39" t="s">
        <v>575</v>
      </c>
      <c r="B39">
        <v>0.79890994645873514</v>
      </c>
    </row>
    <row r="41" spans="1:20">
      <c r="A41" t="s">
        <v>576</v>
      </c>
      <c r="E41" s="24"/>
      <c r="H41" s="16"/>
    </row>
    <row r="42" spans="1:20">
      <c r="A42" t="s">
        <v>577</v>
      </c>
      <c r="H42" s="16"/>
    </row>
    <row r="45" spans="1:20">
      <c r="B45" s="21" t="s">
        <v>578</v>
      </c>
      <c r="C45" s="21"/>
      <c r="D45" s="21"/>
      <c r="E45" s="24"/>
      <c r="F45" s="24"/>
      <c r="G45" s="24"/>
    </row>
    <row r="46" spans="1:20">
      <c r="A46" s="29" t="s">
        <v>579</v>
      </c>
      <c r="B46" s="24" t="s">
        <v>36</v>
      </c>
      <c r="C46" s="24" t="s">
        <v>37</v>
      </c>
      <c r="D46" s="24" t="s">
        <v>34</v>
      </c>
      <c r="E46" s="24"/>
      <c r="G46" s="24"/>
    </row>
    <row r="47" spans="1:20">
      <c r="A47" t="s">
        <v>580</v>
      </c>
      <c r="B47" s="273">
        <f>IF('Practice Inputs'!H18&gt;0,1,0.92)</f>
        <v>0.92</v>
      </c>
      <c r="C47" s="273">
        <v>1</v>
      </c>
      <c r="D47" s="273">
        <f>IF('Practice Inputs'!H18&gt;0,1,1.08)</f>
        <v>1.08</v>
      </c>
      <c r="E47" s="24"/>
    </row>
    <row r="48" spans="1:20">
      <c r="A48" t="s">
        <v>581</v>
      </c>
      <c r="B48">
        <f>C48*B47</f>
        <v>3.4040000000000004</v>
      </c>
      <c r="C48" s="55">
        <v>3.7</v>
      </c>
      <c r="D48">
        <f>C48*D47</f>
        <v>3.9960000000000004</v>
      </c>
      <c r="E48" s="24"/>
      <c r="G48" s="24"/>
    </row>
    <row r="49" spans="1:8">
      <c r="A49" t="s">
        <v>582</v>
      </c>
      <c r="B49">
        <f>$C$49*B47</f>
        <v>0.46</v>
      </c>
      <c r="C49">
        <v>0.5</v>
      </c>
      <c r="D49">
        <f>$C$49*D47</f>
        <v>0.54</v>
      </c>
      <c r="E49" s="24"/>
      <c r="H49" s="16"/>
    </row>
    <row r="50" spans="1:8">
      <c r="E50" s="24"/>
      <c r="H50" s="16"/>
    </row>
    <row r="51" spans="1:8">
      <c r="A51" t="s">
        <v>576</v>
      </c>
      <c r="E51" s="24"/>
      <c r="H51" s="16"/>
    </row>
    <row r="52" spans="1:8">
      <c r="A52" t="s">
        <v>577</v>
      </c>
      <c r="H52" s="16"/>
    </row>
    <row r="53" spans="1:8">
      <c r="A53" t="s">
        <v>583</v>
      </c>
      <c r="H53" s="16"/>
    </row>
    <row r="54" spans="1:8">
      <c r="H54" s="16"/>
    </row>
    <row r="55" spans="1:8">
      <c r="H55" s="16"/>
    </row>
    <row r="56" spans="1:8">
      <c r="A56" s="29" t="s">
        <v>584</v>
      </c>
    </row>
    <row r="57" spans="1:8">
      <c r="A57" t="s">
        <v>585</v>
      </c>
      <c r="B57" s="30">
        <f>B58*B102</f>
        <v>37.0948717948718</v>
      </c>
      <c r="C57" s="30">
        <f>C58*C102</f>
        <v>40.320512820512825</v>
      </c>
      <c r="D57" s="30">
        <f>D58*D102</f>
        <v>65.319230769230785</v>
      </c>
      <c r="E57" s="16"/>
      <c r="F57" s="16"/>
      <c r="G57" s="16"/>
    </row>
    <row r="58" spans="1:8">
      <c r="A58" t="s">
        <v>586</v>
      </c>
      <c r="B58" s="30">
        <f>1/3*B48*used_esu/52</f>
        <v>109.10256410256412</v>
      </c>
      <c r="C58" s="30">
        <f>1/3*C48*used_esu/52</f>
        <v>118.58974358974359</v>
      </c>
      <c r="D58" s="30">
        <f>1/2*D48*used_esu/52</f>
        <v>192.11538461538464</v>
      </c>
      <c r="E58" s="16"/>
      <c r="F58" s="16"/>
      <c r="G58" s="16"/>
    </row>
    <row r="60" spans="1:8">
      <c r="A60" t="s">
        <v>587</v>
      </c>
    </row>
    <row r="61" spans="1:8">
      <c r="A61" t="s">
        <v>588</v>
      </c>
    </row>
    <row r="63" spans="1:8">
      <c r="B63" s="21" t="s">
        <v>578</v>
      </c>
      <c r="C63" s="21"/>
      <c r="D63" s="21"/>
    </row>
    <row r="64" spans="1:8">
      <c r="A64" s="29" t="s">
        <v>492</v>
      </c>
      <c r="B64" s="24" t="s">
        <v>36</v>
      </c>
      <c r="C64" s="24" t="s">
        <v>37</v>
      </c>
      <c r="D64" s="24" t="s">
        <v>34</v>
      </c>
    </row>
    <row r="65" spans="1:7">
      <c r="A65" t="s">
        <v>589</v>
      </c>
      <c r="B65" s="3">
        <v>0.62</v>
      </c>
      <c r="C65" s="3">
        <v>0.49</v>
      </c>
      <c r="D65" s="3">
        <v>0.28000000000000003</v>
      </c>
    </row>
    <row r="66" spans="1:7">
      <c r="A66" t="s">
        <v>590</v>
      </c>
      <c r="B66" s="3">
        <v>0.6</v>
      </c>
      <c r="C66" s="3">
        <v>0.6</v>
      </c>
      <c r="D66" s="3">
        <v>0.6</v>
      </c>
    </row>
    <row r="67" spans="1:7">
      <c r="B67" s="3"/>
      <c r="C67" s="3"/>
      <c r="D67" s="3"/>
    </row>
    <row r="68" spans="1:7">
      <c r="A68" t="s">
        <v>591</v>
      </c>
    </row>
    <row r="69" spans="1:7">
      <c r="A69" t="s">
        <v>592</v>
      </c>
    </row>
    <row r="71" spans="1:7">
      <c r="A71" s="29" t="s">
        <v>593</v>
      </c>
    </row>
    <row r="72" spans="1:7">
      <c r="A72" t="s">
        <v>594</v>
      </c>
      <c r="B72">
        <v>5</v>
      </c>
      <c r="C72">
        <v>5</v>
      </c>
      <c r="D72">
        <v>5</v>
      </c>
    </row>
    <row r="73" spans="1:7">
      <c r="A73" t="s">
        <v>595</v>
      </c>
      <c r="B73" s="31">
        <v>0</v>
      </c>
      <c r="C73" s="31">
        <v>0</v>
      </c>
      <c r="D73" s="31">
        <v>0</v>
      </c>
      <c r="E73" s="31"/>
      <c r="F73" s="31"/>
      <c r="G73" s="31"/>
    </row>
    <row r="74" spans="1:7">
      <c r="A74" t="s">
        <v>596</v>
      </c>
      <c r="B74" s="32">
        <v>0.3</v>
      </c>
      <c r="C74" s="32">
        <v>0.3</v>
      </c>
      <c r="D74" s="32">
        <v>0.15</v>
      </c>
      <c r="E74" s="31"/>
      <c r="F74" s="31"/>
      <c r="G74" s="31"/>
    </row>
    <row r="75" spans="1:7">
      <c r="B75" s="32"/>
      <c r="C75" s="32"/>
      <c r="D75" s="32"/>
      <c r="E75" s="31"/>
      <c r="F75" s="31"/>
      <c r="G75" s="31"/>
    </row>
    <row r="76" spans="1:7">
      <c r="A76" s="39" t="s">
        <v>597</v>
      </c>
    </row>
    <row r="77" spans="1:7">
      <c r="A77" t="s">
        <v>368</v>
      </c>
      <c r="B77" s="32">
        <v>0.4</v>
      </c>
      <c r="C77" s="32">
        <v>0.4</v>
      </c>
      <c r="D77" s="32">
        <v>0.2</v>
      </c>
      <c r="E77" s="32"/>
      <c r="F77" s="32"/>
      <c r="G77" s="32"/>
    </row>
    <row r="78" spans="1:7">
      <c r="A78" s="22" t="s">
        <v>370</v>
      </c>
      <c r="B78" s="32">
        <v>0.1</v>
      </c>
      <c r="C78" s="32">
        <v>0.1</v>
      </c>
      <c r="D78" s="32">
        <v>0.05</v>
      </c>
      <c r="E78" s="32"/>
      <c r="F78" s="32"/>
      <c r="G78" s="32"/>
    </row>
    <row r="79" spans="1:7">
      <c r="A79" s="124" t="s">
        <v>598</v>
      </c>
      <c r="B79" s="125">
        <v>0</v>
      </c>
      <c r="C79" s="125">
        <v>0</v>
      </c>
      <c r="D79" s="125">
        <v>0</v>
      </c>
      <c r="E79" s="120"/>
      <c r="F79" s="120"/>
      <c r="G79" s="120"/>
    </row>
    <row r="80" spans="1:7">
      <c r="A80" s="22" t="s">
        <v>371</v>
      </c>
      <c r="B80" s="32">
        <v>0.9</v>
      </c>
      <c r="C80" s="32">
        <v>0.9</v>
      </c>
      <c r="D80" s="32">
        <v>0.95</v>
      </c>
      <c r="E80" s="32"/>
      <c r="F80" s="32"/>
      <c r="G80" s="32"/>
    </row>
    <row r="81" spans="1:7">
      <c r="A81" t="s">
        <v>373</v>
      </c>
      <c r="B81" s="32">
        <v>0.55000000000000004</v>
      </c>
      <c r="C81" s="32">
        <v>0.55000000000000004</v>
      </c>
      <c r="D81" s="32">
        <v>0.72</v>
      </c>
      <c r="E81" s="32"/>
      <c r="F81" s="32"/>
      <c r="G81" s="32"/>
    </row>
    <row r="82" spans="1:7">
      <c r="A82" s="22" t="s">
        <v>374</v>
      </c>
      <c r="B82" s="32">
        <v>0.1</v>
      </c>
      <c r="C82" s="32">
        <v>9.9999999999999978E-2</v>
      </c>
      <c r="D82" s="32">
        <v>0.1</v>
      </c>
      <c r="E82" s="32"/>
      <c r="F82" s="32"/>
      <c r="G82" s="32"/>
    </row>
    <row r="83" spans="1:7">
      <c r="A83" s="22" t="s">
        <v>376</v>
      </c>
      <c r="B83" s="32">
        <f>1-B82</f>
        <v>0.9</v>
      </c>
      <c r="C83" s="32">
        <f>1-C82</f>
        <v>0.9</v>
      </c>
      <c r="D83" s="32">
        <f>1-D82</f>
        <v>0.9</v>
      </c>
      <c r="E83" s="32"/>
      <c r="F83" s="32"/>
      <c r="G83" s="32"/>
    </row>
    <row r="84" spans="1:7">
      <c r="A84" s="23" t="s">
        <v>599</v>
      </c>
      <c r="B84" s="32">
        <v>0</v>
      </c>
      <c r="C84" s="32">
        <v>0</v>
      </c>
      <c r="D84" s="32">
        <v>0</v>
      </c>
      <c r="E84" s="32"/>
      <c r="F84" s="32"/>
      <c r="G84" s="32"/>
    </row>
    <row r="85" spans="1:7">
      <c r="A85" s="23" t="s">
        <v>376</v>
      </c>
      <c r="B85" s="32">
        <f>1-B84</f>
        <v>1</v>
      </c>
      <c r="C85" s="32">
        <f>1-C84</f>
        <v>1</v>
      </c>
      <c r="D85" s="32">
        <f>1-D84</f>
        <v>1</v>
      </c>
      <c r="E85" s="32"/>
      <c r="F85" s="32"/>
      <c r="G85" s="32"/>
    </row>
    <row r="86" spans="1:7">
      <c r="A86" s="101" t="s">
        <v>600</v>
      </c>
      <c r="B86" s="32">
        <v>0</v>
      </c>
      <c r="C86" s="32">
        <v>0</v>
      </c>
      <c r="D86" s="32">
        <v>0</v>
      </c>
      <c r="E86" s="32"/>
      <c r="F86" s="32"/>
      <c r="G86" s="32"/>
    </row>
    <row r="87" spans="1:7">
      <c r="A87" s="101" t="s">
        <v>384</v>
      </c>
      <c r="B87" s="32">
        <v>0.05</v>
      </c>
      <c r="C87" s="32">
        <v>0.05</v>
      </c>
      <c r="D87" s="32">
        <v>0.08</v>
      </c>
      <c r="E87" s="32"/>
      <c r="F87" s="32"/>
      <c r="G87" s="32"/>
    </row>
    <row r="88" spans="1:7">
      <c r="A88" s="27" t="s">
        <v>395</v>
      </c>
      <c r="B88" s="32">
        <v>0.52</v>
      </c>
      <c r="C88" s="32">
        <v>0.52</v>
      </c>
      <c r="D88" s="32">
        <v>0.52</v>
      </c>
    </row>
    <row r="89" spans="1:7">
      <c r="B89" s="32"/>
      <c r="C89" s="32"/>
      <c r="D89" s="32"/>
      <c r="E89" s="32"/>
      <c r="F89" s="32"/>
      <c r="G89" s="32"/>
    </row>
    <row r="90" spans="1:7">
      <c r="A90" s="39" t="s">
        <v>601</v>
      </c>
      <c r="B90" s="32"/>
      <c r="C90" s="32"/>
      <c r="D90" s="32"/>
      <c r="E90" s="32"/>
      <c r="F90" s="32"/>
      <c r="G90" s="32"/>
    </row>
    <row r="91" spans="1:7">
      <c r="A91" t="s">
        <v>368</v>
      </c>
      <c r="B91" s="32">
        <f>B77/2</f>
        <v>0.2</v>
      </c>
      <c r="C91" s="32">
        <f>C77/2</f>
        <v>0.2</v>
      </c>
      <c r="D91" s="32">
        <f>D77/2</f>
        <v>0.1</v>
      </c>
      <c r="E91" s="32"/>
      <c r="F91" s="32"/>
      <c r="G91" s="32"/>
    </row>
    <row r="92" spans="1:7">
      <c r="A92" s="22" t="s">
        <v>370</v>
      </c>
      <c r="B92" s="32">
        <v>0</v>
      </c>
      <c r="C92" s="32">
        <v>0</v>
      </c>
      <c r="D92" s="32">
        <v>0</v>
      </c>
      <c r="E92" s="32"/>
      <c r="F92" s="32"/>
      <c r="G92" s="32"/>
    </row>
    <row r="93" spans="1:7">
      <c r="A93" s="22" t="s">
        <v>598</v>
      </c>
      <c r="B93" s="32">
        <v>0</v>
      </c>
      <c r="C93" s="32">
        <v>0</v>
      </c>
      <c r="D93" s="32">
        <v>0</v>
      </c>
      <c r="E93" s="32"/>
      <c r="F93" s="32"/>
      <c r="G93" s="32"/>
    </row>
    <row r="94" spans="1:7">
      <c r="A94" s="22" t="s">
        <v>371</v>
      </c>
      <c r="B94" s="32">
        <v>1</v>
      </c>
      <c r="C94" s="32">
        <v>1</v>
      </c>
      <c r="D94" s="32">
        <v>1</v>
      </c>
      <c r="E94" s="32"/>
      <c r="F94" s="32"/>
      <c r="G94" s="32"/>
    </row>
    <row r="95" spans="1:7">
      <c r="A95" t="s">
        <v>373</v>
      </c>
      <c r="B95" s="32">
        <v>0.75</v>
      </c>
      <c r="C95" s="32">
        <v>0.75</v>
      </c>
      <c r="D95" s="32">
        <v>0.82</v>
      </c>
      <c r="E95" s="32"/>
      <c r="F95" s="32"/>
      <c r="G95" s="32"/>
    </row>
    <row r="96" spans="1:7">
      <c r="A96" s="22" t="s">
        <v>374</v>
      </c>
      <c r="B96" s="32">
        <v>0.1</v>
      </c>
      <c r="C96" s="32">
        <v>9.9999999999999978E-2</v>
      </c>
      <c r="D96" s="32">
        <v>0.1</v>
      </c>
      <c r="E96" s="32"/>
      <c r="F96" s="32"/>
      <c r="G96" s="32"/>
    </row>
    <row r="97" spans="1:7">
      <c r="A97" s="22" t="s">
        <v>376</v>
      </c>
      <c r="B97" s="32">
        <f>1-B96</f>
        <v>0.9</v>
      </c>
      <c r="C97" s="32">
        <f>1-C96</f>
        <v>0.9</v>
      </c>
      <c r="D97" s="32">
        <f>1-D96</f>
        <v>0.9</v>
      </c>
      <c r="E97" s="32"/>
      <c r="F97" s="32"/>
      <c r="G97" s="32"/>
    </row>
    <row r="98" spans="1:7">
      <c r="A98" s="23" t="s">
        <v>599</v>
      </c>
      <c r="B98" s="32">
        <v>0</v>
      </c>
      <c r="C98" s="32">
        <v>0</v>
      </c>
      <c r="D98" s="32">
        <v>0</v>
      </c>
      <c r="E98" s="32"/>
      <c r="F98" s="32"/>
      <c r="G98" s="32"/>
    </row>
    <row r="99" spans="1:7">
      <c r="A99" s="23" t="s">
        <v>376</v>
      </c>
      <c r="B99" s="32">
        <f>1-B98</f>
        <v>1</v>
      </c>
      <c r="C99" s="32">
        <f>1-C98</f>
        <v>1</v>
      </c>
      <c r="D99" s="32">
        <f>1-D98</f>
        <v>1</v>
      </c>
      <c r="E99" s="32"/>
      <c r="F99" s="32"/>
      <c r="G99" s="32"/>
    </row>
    <row r="100" spans="1:7">
      <c r="A100" s="101" t="s">
        <v>600</v>
      </c>
      <c r="B100" s="32">
        <v>0</v>
      </c>
      <c r="C100" s="32">
        <v>0</v>
      </c>
      <c r="D100" s="32">
        <v>0</v>
      </c>
      <c r="E100" s="32"/>
      <c r="F100" s="32"/>
      <c r="G100" s="32"/>
    </row>
    <row r="101" spans="1:7">
      <c r="A101" s="101" t="s">
        <v>384</v>
      </c>
      <c r="B101" s="32">
        <v>0.05</v>
      </c>
      <c r="C101" s="32">
        <v>0.05</v>
      </c>
      <c r="D101" s="32">
        <v>0.08</v>
      </c>
    </row>
    <row r="102" spans="1:7">
      <c r="A102" s="27" t="s">
        <v>395</v>
      </c>
      <c r="B102" s="32">
        <v>0.34</v>
      </c>
      <c r="C102" s="32">
        <v>0.34</v>
      </c>
      <c r="D102" s="32">
        <v>0.34</v>
      </c>
    </row>
    <row r="103" spans="1:7">
      <c r="A103" s="27"/>
      <c r="B103" s="32"/>
      <c r="C103" s="32"/>
      <c r="D103" s="32"/>
    </row>
    <row r="106" spans="1:7">
      <c r="A106" s="27"/>
      <c r="B106" s="32"/>
      <c r="C106" s="32"/>
      <c r="D106" s="32"/>
    </row>
    <row r="107" spans="1:7">
      <c r="B107" t="s">
        <v>602</v>
      </c>
      <c r="C107" t="s">
        <v>603</v>
      </c>
      <c r="D107" t="s">
        <v>604</v>
      </c>
    </row>
    <row r="108" spans="1:7">
      <c r="A108" s="29" t="s">
        <v>605</v>
      </c>
      <c r="B108" t="s">
        <v>30</v>
      </c>
      <c r="C108" t="s">
        <v>606</v>
      </c>
      <c r="D108" s="16" t="s">
        <v>607</v>
      </c>
    </row>
    <row r="109" spans="1:7">
      <c r="A109" t="s">
        <v>608</v>
      </c>
      <c r="B109" s="19">
        <v>0</v>
      </c>
      <c r="C109" s="19">
        <v>0</v>
      </c>
      <c r="D109" s="258">
        <f>(G109+G110/10*9)/$G$115</f>
        <v>0.17505155348020221</v>
      </c>
      <c r="F109" t="s">
        <v>269</v>
      </c>
      <c r="G109">
        <v>293096</v>
      </c>
    </row>
    <row r="110" spans="1:7">
      <c r="A110" t="s">
        <v>609</v>
      </c>
      <c r="B110" s="19">
        <f>13</f>
        <v>13</v>
      </c>
      <c r="C110" s="19">
        <v>0</v>
      </c>
      <c r="D110" s="258">
        <f>(G110/10+G111/10*3)/$G$115</f>
        <v>4.8833163403894861E-2</v>
      </c>
      <c r="F110" t="s">
        <v>270</v>
      </c>
      <c r="G110">
        <v>647441</v>
      </c>
    </row>
    <row r="111" spans="1:7">
      <c r="A111" t="s">
        <v>610</v>
      </c>
      <c r="B111" s="19">
        <f>19.5</f>
        <v>19.5</v>
      </c>
      <c r="C111" s="19">
        <f>(42)</f>
        <v>42</v>
      </c>
      <c r="D111" s="258">
        <f>(G111/10*7+G112/20*3)/$G$115</f>
        <v>0.12464488211907239</v>
      </c>
      <c r="F111" t="s">
        <v>271</v>
      </c>
      <c r="G111">
        <v>598570</v>
      </c>
    </row>
    <row r="112" spans="1:7">
      <c r="A112" t="s">
        <v>611</v>
      </c>
      <c r="B112" s="19">
        <f>19.5</f>
        <v>19.5</v>
      </c>
      <c r="C112" s="19">
        <f>(52)</f>
        <v>52</v>
      </c>
      <c r="D112" s="258">
        <f>1-SUM(D109:D111)</f>
        <v>0.65147040099683062</v>
      </c>
      <c r="F112" t="s">
        <v>272</v>
      </c>
      <c r="G112">
        <v>1364043</v>
      </c>
    </row>
    <row r="113" spans="1:7">
      <c r="B113" s="19"/>
      <c r="C113" s="19"/>
      <c r="D113" s="36"/>
      <c r="F113" t="s">
        <v>273</v>
      </c>
      <c r="G113">
        <v>1229558</v>
      </c>
    </row>
    <row r="114" spans="1:7">
      <c r="A114" t="s">
        <v>612</v>
      </c>
      <c r="B114" s="19">
        <f>SUMPRODUCT(B109:B112,D109:D112)</f>
        <v>15.769079145010741</v>
      </c>
      <c r="C114" s="19">
        <f>SUMPRODUCT(C109:C112,D109:D112)</f>
        <v>39.111545900836234</v>
      </c>
      <c r="D114" s="37"/>
      <c r="F114" t="s">
        <v>274</v>
      </c>
      <c r="G114">
        <v>870349</v>
      </c>
    </row>
    <row r="115" spans="1:7">
      <c r="A115" t="s">
        <v>613</v>
      </c>
      <c r="B115" s="19">
        <v>1</v>
      </c>
      <c r="C115" s="19">
        <v>1</v>
      </c>
      <c r="D115" s="37"/>
      <c r="G115">
        <v>5003057</v>
      </c>
    </row>
    <row r="116" spans="1:7">
      <c r="A116" t="s">
        <v>614</v>
      </c>
      <c r="B116" s="19">
        <f>B114</f>
        <v>15.769079145010741</v>
      </c>
      <c r="C116" s="19">
        <f>C114</f>
        <v>39.111545900836234</v>
      </c>
      <c r="E116" s="37"/>
    </row>
    <row r="117" spans="1:7">
      <c r="A117" t="s">
        <v>615</v>
      </c>
      <c r="B117" s="19">
        <f>10</f>
        <v>10</v>
      </c>
      <c r="C117" s="19">
        <f>10</f>
        <v>10</v>
      </c>
      <c r="E117" s="37"/>
    </row>
    <row r="118" spans="1:7">
      <c r="B118" s="19"/>
      <c r="C118" s="19"/>
      <c r="E118" s="37"/>
    </row>
    <row r="119" spans="1:7">
      <c r="A119" t="s">
        <v>616</v>
      </c>
    </row>
    <row r="120" spans="1:7">
      <c r="A120" t="s">
        <v>617</v>
      </c>
    </row>
    <row r="121" spans="1:7">
      <c r="A121" t="s">
        <v>618</v>
      </c>
    </row>
    <row r="122" spans="1:7">
      <c r="A122" t="s">
        <v>619</v>
      </c>
    </row>
    <row r="124" spans="1:7">
      <c r="A124" s="29" t="s">
        <v>620</v>
      </c>
    </row>
    <row r="125" spans="1:7">
      <c r="A125" t="s">
        <v>621</v>
      </c>
    </row>
    <row r="126" spans="1:7">
      <c r="A126" t="s">
        <v>622</v>
      </c>
      <c r="B126" t="s">
        <v>623</v>
      </c>
      <c r="C126" t="s">
        <v>624</v>
      </c>
      <c r="D126" t="s">
        <v>625</v>
      </c>
    </row>
    <row r="127" spans="1:7">
      <c r="A127" t="s">
        <v>136</v>
      </c>
      <c r="B127" s="38">
        <f>258255</f>
        <v>258255</v>
      </c>
      <c r="C127" s="38">
        <f t="shared" ref="C127:C142" si="3">B127*1.08441</f>
        <v>280054.30455</v>
      </c>
      <c r="D127" s="38">
        <f>C127*1.075</f>
        <v>301058.37739124999</v>
      </c>
    </row>
    <row r="128" spans="1:7">
      <c r="A128" t="s">
        <v>284</v>
      </c>
      <c r="B128" s="38">
        <f>116419</f>
        <v>116419</v>
      </c>
      <c r="C128" s="38">
        <f t="shared" si="3"/>
        <v>126245.92779000002</v>
      </c>
      <c r="D128" s="38">
        <f t="shared" ref="D128:D142" si="4">C128*1.045</f>
        <v>131926.99454055002</v>
      </c>
    </row>
    <row r="129" spans="1:26">
      <c r="A129" t="s">
        <v>90</v>
      </c>
      <c r="B129" s="38">
        <f>83186</f>
        <v>83186</v>
      </c>
      <c r="C129" s="38">
        <f t="shared" si="3"/>
        <v>90207.730260000011</v>
      </c>
      <c r="D129" s="38">
        <f t="shared" si="4"/>
        <v>94267.078121700004</v>
      </c>
    </row>
    <row r="130" spans="1:26" ht="14.4" customHeight="1">
      <c r="A130" t="s">
        <v>168</v>
      </c>
      <c r="B130" s="38">
        <f>52702</f>
        <v>52702</v>
      </c>
      <c r="C130" s="38">
        <f t="shared" si="3"/>
        <v>57150.575820000005</v>
      </c>
      <c r="D130" s="38">
        <f t="shared" si="4"/>
        <v>59722.351731900002</v>
      </c>
    </row>
    <row r="131" spans="1:26" ht="15" customHeight="1">
      <c r="A131" t="s">
        <v>167</v>
      </c>
      <c r="B131" s="38">
        <f>B130</f>
        <v>52702</v>
      </c>
      <c r="C131" s="38">
        <f t="shared" si="3"/>
        <v>57150.575820000005</v>
      </c>
      <c r="D131" s="38">
        <f t="shared" si="4"/>
        <v>59722.351731900002</v>
      </c>
    </row>
    <row r="132" spans="1:26">
      <c r="A132" t="s">
        <v>137</v>
      </c>
      <c r="B132" s="38">
        <f>49965</f>
        <v>49965</v>
      </c>
      <c r="C132" s="38">
        <f t="shared" si="3"/>
        <v>54182.545650000007</v>
      </c>
      <c r="D132" s="38">
        <f t="shared" si="4"/>
        <v>56620.76020425</v>
      </c>
    </row>
    <row r="133" spans="1:26">
      <c r="A133" t="s">
        <v>285</v>
      </c>
      <c r="B133" s="38">
        <f>120000</f>
        <v>120000</v>
      </c>
      <c r="C133" s="38">
        <f t="shared" si="3"/>
        <v>130129.20000000001</v>
      </c>
      <c r="D133" s="38">
        <f t="shared" si="4"/>
        <v>135985.014</v>
      </c>
    </row>
    <row r="134" spans="1:26">
      <c r="A134" t="s">
        <v>84</v>
      </c>
      <c r="B134" s="38">
        <f>B128</f>
        <v>116419</v>
      </c>
      <c r="C134" s="38">
        <f t="shared" si="3"/>
        <v>126245.92779000002</v>
      </c>
      <c r="D134" s="38">
        <f t="shared" si="4"/>
        <v>131926.99454055002</v>
      </c>
    </row>
    <row r="135" spans="1:26">
      <c r="A135" t="s">
        <v>286</v>
      </c>
      <c r="B135" s="38">
        <f>103328</f>
        <v>103328</v>
      </c>
      <c r="C135" s="38">
        <f t="shared" si="3"/>
        <v>112049.91648000001</v>
      </c>
      <c r="D135" s="38">
        <f t="shared" si="4"/>
        <v>117092.16272160001</v>
      </c>
    </row>
    <row r="136" spans="1:26">
      <c r="A136" t="s">
        <v>287</v>
      </c>
      <c r="B136" s="38">
        <f>103328</f>
        <v>103328</v>
      </c>
      <c r="C136" s="38">
        <f t="shared" si="3"/>
        <v>112049.91648000001</v>
      </c>
      <c r="D136" s="38">
        <f t="shared" si="4"/>
        <v>117092.16272160001</v>
      </c>
    </row>
    <row r="137" spans="1:26">
      <c r="A137" t="s">
        <v>288</v>
      </c>
      <c r="B137" s="38">
        <f>103328</f>
        <v>103328</v>
      </c>
      <c r="C137" s="38">
        <f t="shared" si="3"/>
        <v>112049.91648000001</v>
      </c>
      <c r="D137" s="38">
        <f t="shared" si="4"/>
        <v>117092.16272160001</v>
      </c>
    </row>
    <row r="138" spans="1:26">
      <c r="A138" t="s">
        <v>289</v>
      </c>
      <c r="B138" s="38">
        <f>B129</f>
        <v>83186</v>
      </c>
      <c r="C138" s="38">
        <f t="shared" si="3"/>
        <v>90207.730260000011</v>
      </c>
      <c r="D138" s="38">
        <f t="shared" si="4"/>
        <v>94267.078121700004</v>
      </c>
    </row>
    <row r="139" spans="1:26" ht="14.4" customHeight="1">
      <c r="A139" t="s">
        <v>113</v>
      </c>
      <c r="B139" s="38">
        <f>B129</f>
        <v>83186</v>
      </c>
      <c r="C139" s="38">
        <f t="shared" si="3"/>
        <v>90207.730260000011</v>
      </c>
      <c r="D139" s="38">
        <f t="shared" si="4"/>
        <v>94267.078121700004</v>
      </c>
    </row>
    <row r="140" spans="1:26" ht="15" customHeight="1">
      <c r="A140" t="s">
        <v>290</v>
      </c>
      <c r="B140" s="38">
        <f>B129</f>
        <v>83186</v>
      </c>
      <c r="C140" s="38">
        <f t="shared" si="3"/>
        <v>90207.730260000011</v>
      </c>
      <c r="D140" s="38">
        <f t="shared" si="4"/>
        <v>94267.078121700004</v>
      </c>
    </row>
    <row r="141" spans="1:26">
      <c r="A141" t="s">
        <v>291</v>
      </c>
      <c r="B141" s="38">
        <f>B130</f>
        <v>52702</v>
      </c>
      <c r="C141" s="38">
        <f t="shared" si="3"/>
        <v>57150.575820000005</v>
      </c>
      <c r="D141" s="38">
        <f t="shared" si="4"/>
        <v>59722.351731900002</v>
      </c>
    </row>
    <row r="142" spans="1:26">
      <c r="A142" t="s">
        <v>292</v>
      </c>
      <c r="B142" s="38">
        <f>B129</f>
        <v>83186</v>
      </c>
      <c r="C142" s="38">
        <f t="shared" si="3"/>
        <v>90207.730260000011</v>
      </c>
      <c r="D142" s="38">
        <f t="shared" si="4"/>
        <v>94267.078121700004</v>
      </c>
      <c r="E142" t="str">
        <f>IF(E47="","",E47)</f>
        <v/>
      </c>
      <c r="Q142" t="str">
        <f t="shared" ref="Q142:Z142" si="5">IF(Q48="","",Q48)</f>
        <v/>
      </c>
      <c r="R142" t="str">
        <f t="shared" si="5"/>
        <v/>
      </c>
      <c r="S142" t="str">
        <f t="shared" si="5"/>
        <v/>
      </c>
      <c r="T142" t="str">
        <f t="shared" si="5"/>
        <v/>
      </c>
      <c r="U142" t="str">
        <f t="shared" si="5"/>
        <v/>
      </c>
      <c r="V142" t="str">
        <f t="shared" si="5"/>
        <v/>
      </c>
      <c r="W142" t="str">
        <f t="shared" si="5"/>
        <v/>
      </c>
      <c r="X142" t="str">
        <f t="shared" si="5"/>
        <v/>
      </c>
      <c r="Y142" t="str">
        <f t="shared" si="5"/>
        <v/>
      </c>
      <c r="Z142" t="str">
        <f t="shared" si="5"/>
        <v/>
      </c>
    </row>
    <row r="144" spans="1:26" ht="15" customHeight="1">
      <c r="B144" t="s">
        <v>626</v>
      </c>
      <c r="C144" t="s">
        <v>624</v>
      </c>
    </row>
    <row r="145" spans="1:31">
      <c r="A145" t="s">
        <v>627</v>
      </c>
      <c r="B145" s="31">
        <f>16.88</f>
        <v>16.88</v>
      </c>
      <c r="C145" s="31">
        <f>B145*1.08441</f>
        <v>18.304840800000001</v>
      </c>
    </row>
    <row r="146" spans="1:31">
      <c r="A146" t="s">
        <v>628</v>
      </c>
      <c r="B146" s="31">
        <f>B147-B145</f>
        <v>55.13000000000001</v>
      </c>
      <c r="C146" s="31">
        <f>B146*1.08441</f>
        <v>59.783523300000013</v>
      </c>
    </row>
    <row r="147" spans="1:31" ht="15" customHeight="1">
      <c r="A147" t="s">
        <v>629</v>
      </c>
      <c r="B147" s="31">
        <f>72.01</f>
        <v>72.010000000000005</v>
      </c>
      <c r="C147" s="31">
        <f>B147*1.08441</f>
        <v>78.088364100000007</v>
      </c>
    </row>
    <row r="149" spans="1:31">
      <c r="A149" t="s">
        <v>591</v>
      </c>
    </row>
    <row r="150" spans="1:31">
      <c r="A150" t="s">
        <v>630</v>
      </c>
    </row>
    <row r="152" spans="1:31">
      <c r="A152" s="29" t="s">
        <v>631</v>
      </c>
    </row>
    <row r="153" spans="1:31">
      <c r="A153" t="s">
        <v>632</v>
      </c>
      <c r="B153" s="31">
        <v>289.17959999999999</v>
      </c>
    </row>
    <row r="154" spans="1:31">
      <c r="A154" t="s">
        <v>633</v>
      </c>
      <c r="B154" s="31">
        <f>AA165</f>
        <v>13.433576914368295</v>
      </c>
    </row>
    <row r="155" spans="1:31">
      <c r="A155" t="s">
        <v>634</v>
      </c>
      <c r="B155" s="95">
        <v>4.3596730245231606E-2</v>
      </c>
    </row>
    <row r="156" spans="1:31">
      <c r="B156" s="95"/>
      <c r="O156" t="s">
        <v>635</v>
      </c>
    </row>
    <row r="157" spans="1:31" ht="15.9">
      <c r="A157" t="s">
        <v>636</v>
      </c>
      <c r="B157" s="105" t="s">
        <v>637</v>
      </c>
      <c r="H157" s="302" t="s">
        <v>30</v>
      </c>
      <c r="N157" s="302" t="s">
        <v>606</v>
      </c>
      <c r="T157" t="s">
        <v>466</v>
      </c>
      <c r="Z157" t="s">
        <v>313</v>
      </c>
    </row>
    <row r="158" spans="1:31">
      <c r="A158" s="302" t="s">
        <v>267</v>
      </c>
      <c r="B158" s="302">
        <v>1</v>
      </c>
      <c r="C158" s="302">
        <v>2</v>
      </c>
      <c r="D158" s="302">
        <v>3</v>
      </c>
      <c r="E158" s="302">
        <v>4</v>
      </c>
      <c r="F158" s="302">
        <v>5</v>
      </c>
      <c r="G158" s="302" t="s">
        <v>268</v>
      </c>
      <c r="H158">
        <v>1</v>
      </c>
      <c r="I158">
        <v>2</v>
      </c>
      <c r="J158">
        <v>3</v>
      </c>
      <c r="K158">
        <v>4</v>
      </c>
      <c r="L158">
        <v>5</v>
      </c>
      <c r="M158" t="s">
        <v>268</v>
      </c>
      <c r="N158" s="302">
        <v>1</v>
      </c>
      <c r="O158" s="302">
        <v>2</v>
      </c>
      <c r="P158">
        <v>3</v>
      </c>
      <c r="Q158">
        <v>4</v>
      </c>
      <c r="R158">
        <v>5</v>
      </c>
      <c r="S158" t="s">
        <v>268</v>
      </c>
      <c r="T158" s="302">
        <v>1</v>
      </c>
      <c r="U158" s="302">
        <v>2</v>
      </c>
      <c r="V158">
        <v>3</v>
      </c>
      <c r="W158">
        <v>4</v>
      </c>
      <c r="X158">
        <v>5</v>
      </c>
      <c r="Y158" t="s">
        <v>268</v>
      </c>
      <c r="Z158" s="302">
        <v>1</v>
      </c>
      <c r="AA158" s="302">
        <v>2</v>
      </c>
      <c r="AB158">
        <v>3</v>
      </c>
      <c r="AC158">
        <v>4</v>
      </c>
      <c r="AD158">
        <v>5</v>
      </c>
      <c r="AE158" t="s">
        <v>268</v>
      </c>
    </row>
    <row r="159" spans="1:31">
      <c r="A159" s="16" t="s">
        <v>269</v>
      </c>
      <c r="B159" s="32">
        <f>IF('Practice Inputs'!$H$18&gt;0,'Practice Inputs'!B12/'Practice Inputs'!$H$18,IF(input_complexity="Low",C28,IF(input_complexity="Moderate",I28,O28)))</f>
        <v>1.0098478302453053E-2</v>
      </c>
      <c r="C159" s="32">
        <f>IF('Practice Inputs'!$H$18&gt;0,'Practice Inputs'!C12/'Practice Inputs'!$H$18,IF(input_complexity="Low",D28,IF(input_complexity="Moderate",J28,P28)))</f>
        <v>1.0279768404393257E-2</v>
      </c>
      <c r="D159" s="32">
        <f>IF('Practice Inputs'!$H$18&gt;0,'Practice Inputs'!D12/'Practice Inputs'!$H$18,IF(input_complexity="Low",E28,IF(input_complexity="Moderate",K28,Q28)))</f>
        <v>1.104750300367917E-2</v>
      </c>
      <c r="E159" s="32">
        <f>IF('Practice Inputs'!$H$18&gt;0,'Practice Inputs'!E12/'Practice Inputs'!$H$18,IF(input_complexity="Low",F28,IF(input_complexity="Moderate",L28,R28)))</f>
        <v>1.2121252096978811E-2</v>
      </c>
      <c r="F159" s="32">
        <f>IF('Practice Inputs'!$H$18&gt;0,'Practice Inputs'!F12/'Practice Inputs'!$H$18,IF(input_complexity="Low",G28,IF(input_complexity="Moderate",M28,S28)))</f>
        <v>1.4518798704225499E-2</v>
      </c>
      <c r="G159" s="32">
        <f>IF('Practice Inputs'!$H$18&gt;0,'Practice Inputs'!G12/'Practice Inputs'!$H$18,IF(input_complexity="Low",H28,IF(input_complexity="Moderate",N28,T28)))</f>
        <v>5.1668678447125351E-4</v>
      </c>
      <c r="H159" s="102" cm="1">
        <f t="array" ref="H159">_xlfn.XLOOKUP($A159&amp;H$158,$A$174:$A$209&amp;$B$174:$B$209,$G$174:$G$209)</f>
        <v>618.60079784656796</v>
      </c>
      <c r="I159" s="102" cm="1">
        <f t="array" ref="I159">_xlfn.XLOOKUP($A159&amp;I$158,$A$174:$A$209&amp;$B$174:$B$209,$G$174:$G$209)</f>
        <v>618.68669601602096</v>
      </c>
      <c r="J159" s="102" cm="1">
        <f t="array" ref="J159">_xlfn.XLOOKUP($A159&amp;J$158,$A$174:$A$209&amp;$B$174:$B$209,$G$174:$G$209)</f>
        <v>618.59851152322199</v>
      </c>
      <c r="K159" s="102" cm="1">
        <f t="array" ref="K159">_xlfn.XLOOKUP($A159&amp;K$158,$A$174:$A$209&amp;$B$174:$B$209,$G$174:$G$209)</f>
        <v>618.83476601091604</v>
      </c>
      <c r="L159" s="102" cm="1">
        <f t="array" ref="L159">_xlfn.XLOOKUP($A159&amp;L$158,$A$174:$A$209&amp;$B$174:$B$209,$G$174:$G$209)</f>
        <v>618.73172951347794</v>
      </c>
      <c r="M159" s="102" cm="1">
        <f t="array" ref="M159">_xlfn.XLOOKUP($A159&amp;M$158,$A$174:$A$209&amp;$B$174:$B$209,$G$174:$G$209)</f>
        <v>618.95921946697604</v>
      </c>
      <c r="N159" s="102" cm="1">
        <f t="array" ref="N159">_xlfn.XLOOKUP($A159&amp;N$158,$A$174:$A$209&amp;$B$174:$B$209,$H$174:$H$209)</f>
        <v>618.60079784656796</v>
      </c>
      <c r="O159" s="102" cm="1">
        <f t="array" ref="O159">_xlfn.XLOOKUP($A159&amp;O$158,$A$174:$A$209&amp;$B$174:$B$209,$H$174:$H$209)</f>
        <v>618.68669601602096</v>
      </c>
      <c r="P159" s="102" cm="1">
        <f t="array" ref="P159">_xlfn.XLOOKUP($A159&amp;P$158,$A$174:$A$209&amp;$B$174:$B$209,$H$174:$H$209)</f>
        <v>618.59851152322199</v>
      </c>
      <c r="Q159" s="102" cm="1">
        <f t="array" ref="Q159">_xlfn.XLOOKUP($A159&amp;Q$158,$A$174:$A$209&amp;$B$174:$B$209,$H$174:$H$209)</f>
        <v>618.83476601091604</v>
      </c>
      <c r="R159" s="102" cm="1">
        <f t="array" ref="R159">_xlfn.XLOOKUP($A159&amp;R$158,$A$174:$A$209&amp;$B$174:$B$209,$H$174:$H$209)</f>
        <v>618.73172951347794</v>
      </c>
      <c r="S159" s="102" cm="1">
        <f t="array" ref="S159">_xlfn.XLOOKUP($A159&amp;S$158,$A$174:$A$209&amp;$B$174:$B$209,$H$174:$H$209)</f>
        <v>618.95921946697604</v>
      </c>
      <c r="T159">
        <f t="shared" ref="T159:Y164" si="6">IF(input_vlca="VLCA",H159,N159)</f>
        <v>618.60079784656796</v>
      </c>
      <c r="U159">
        <f t="shared" si="6"/>
        <v>618.68669601602096</v>
      </c>
      <c r="V159">
        <f t="shared" si="6"/>
        <v>618.59851152322199</v>
      </c>
      <c r="W159">
        <f t="shared" si="6"/>
        <v>618.83476601091604</v>
      </c>
      <c r="X159">
        <f t="shared" si="6"/>
        <v>618.73172951347794</v>
      </c>
      <c r="Y159">
        <f t="shared" si="6"/>
        <v>618.95921946697604</v>
      </c>
      <c r="Z159" s="102" cm="1">
        <f t="array" ref="Z159">_xlfn.XLOOKUP($A159&amp;Z$158,$A$174:$A$209&amp;$B$174:$B$209,$I$174:$I$209)</f>
        <v>14.0261095558546</v>
      </c>
      <c r="AA159" s="102" cm="1">
        <f t="array" ref="AA159">_xlfn.XLOOKUP($A159&amp;AA$158,$A$174:$A$209&amp;$B$174:$B$209,$I$174:$I$209)</f>
        <v>17.9534508681534</v>
      </c>
      <c r="AB159" s="102" cm="1">
        <f t="array" ref="AB159">_xlfn.XLOOKUP($A159&amp;AB$158,$A$174:$A$209&amp;$B$174:$B$209,$I$174:$I$209)</f>
        <v>23.935530857049802</v>
      </c>
      <c r="AC159" s="102" cm="1">
        <f t="array" ref="AC159">_xlfn.XLOOKUP($A159&amp;AC$158,$A$174:$A$209&amp;$B$174:$B$209,$I$174:$I$209)</f>
        <v>32.991225631977301</v>
      </c>
      <c r="AD159" s="102" cm="1">
        <f t="array" ref="AD159">_xlfn.XLOOKUP($A159&amp;AD$158,$A$174:$A$209&amp;$B$174:$B$209,$I$174:$I$209)</f>
        <v>148.145224405958</v>
      </c>
      <c r="AE159" s="102" cm="1">
        <f t="array" ref="AE159">_xlfn.XLOOKUP($A159&amp;AE$158,$A$174:$A$209&amp;$B$174:$B$209,$I$174:$I$209)</f>
        <v>39.656393047508701</v>
      </c>
    </row>
    <row r="160" spans="1:31">
      <c r="A160" s="16" t="s">
        <v>270</v>
      </c>
      <c r="B160" s="32">
        <f>IF('Practice Inputs'!$H$18&gt;0,'Practice Inputs'!B13/'Practice Inputs'!$H$18,IF(input_complexity="Low",C29,IF(input_complexity="Moderate",I29,O29)))</f>
        <v>2.6947464447052198E-2</v>
      </c>
      <c r="C160" s="32">
        <f>IF('Practice Inputs'!$H$18&gt;0,'Practice Inputs'!C13/'Practice Inputs'!$H$18,IF(input_complexity="Low",D29,IF(input_complexity="Moderate",J29,P29)))</f>
        <v>2.4469766427591595E-2</v>
      </c>
      <c r="D160" s="32">
        <f>IF('Practice Inputs'!$H$18&gt;0,'Practice Inputs'!D13/'Practice Inputs'!$H$18,IF(input_complexity="Low",E29,IF(input_complexity="Moderate",K29,Q29)))</f>
        <v>2.3600893138579392E-2</v>
      </c>
      <c r="E160" s="32">
        <f>IF('Practice Inputs'!$H$18&gt;0,'Practice Inputs'!E13/'Practice Inputs'!$H$18,IF(input_complexity="Low",F29,IF(input_complexity="Moderate",L29,R29)))</f>
        <v>2.3973667162965812E-2</v>
      </c>
      <c r="F160" s="32">
        <f>IF('Practice Inputs'!$H$18&gt;0,'Practice Inputs'!F13/'Practice Inputs'!$H$18,IF(input_complexity="Low",G29,IF(input_complexity="Moderate",M29,S29)))</f>
        <v>2.8989226730755817E-2</v>
      </c>
      <c r="G160" s="32">
        <f>IF('Practice Inputs'!$H$18&gt;0,'Practice Inputs'!G13/'Practice Inputs'!$H$18,IF(input_complexity="Low",H29,IF(input_complexity="Moderate",N29,T29)))</f>
        <v>1.4273347496747471E-3</v>
      </c>
      <c r="H160" s="102" cm="1">
        <f t="array" ref="H160">_xlfn.XLOOKUP($A160&amp;H$158,$A$174:$A$209&amp;$B$174:$B$209,$G$174:$G$209)</f>
        <v>230.399468692098</v>
      </c>
      <c r="I160" s="102" cm="1">
        <f t="array" ref="I160">_xlfn.XLOOKUP($A160&amp;I$158,$A$174:$A$209&amp;$B$174:$B$209,$G$174:$G$209)</f>
        <v>230.77533457165299</v>
      </c>
      <c r="J160" s="102" cm="1">
        <f t="array" ref="J160">_xlfn.XLOOKUP($A160&amp;J$158,$A$174:$A$209&amp;$B$174:$B$209,$G$174:$G$209)</f>
        <v>231.14456930308199</v>
      </c>
      <c r="K160" s="102" cm="1">
        <f t="array" ref="K160">_xlfn.XLOOKUP($A160&amp;K$158,$A$174:$A$209&amp;$B$174:$B$209,$G$174:$G$209)</f>
        <v>231.67887864199901</v>
      </c>
      <c r="L160" s="102" cm="1">
        <f t="array" ref="L160">_xlfn.XLOOKUP($A160&amp;L$158,$A$174:$A$209&amp;$B$174:$B$209,$G$174:$G$209)</f>
        <v>232.68350598342499</v>
      </c>
      <c r="M160" s="102" cm="1">
        <f t="array" ref="M160">_xlfn.XLOOKUP($A160&amp;M$158,$A$174:$A$209&amp;$B$174:$B$209,$G$174:$G$209)</f>
        <v>231.68251066330799</v>
      </c>
      <c r="N160" s="102" cm="1">
        <f t="array" ref="N160">_xlfn.XLOOKUP($A160&amp;N$158,$A$174:$A$209&amp;$B$174:$B$209,$H$174:$H$209)</f>
        <v>230.399468692098</v>
      </c>
      <c r="O160" s="102" cm="1">
        <f t="array" ref="O160">_xlfn.XLOOKUP($A160&amp;O$158,$A$174:$A$209&amp;$B$174:$B$209,$H$174:$H$209)</f>
        <v>230.77533457165299</v>
      </c>
      <c r="P160" s="102" cm="1">
        <f t="array" ref="P160">_xlfn.XLOOKUP($A160&amp;P$158,$A$174:$A$209&amp;$B$174:$B$209,$H$174:$H$209)</f>
        <v>231.14456930308199</v>
      </c>
      <c r="Q160" s="102" cm="1">
        <f t="array" ref="Q160">_xlfn.XLOOKUP($A160&amp;Q$158,$A$174:$A$209&amp;$B$174:$B$209,$H$174:$H$209)</f>
        <v>231.67887864199901</v>
      </c>
      <c r="R160" s="102" cm="1">
        <f t="array" ref="R160">_xlfn.XLOOKUP($A160&amp;R$158,$A$174:$A$209&amp;$B$174:$B$209,$H$174:$H$209)</f>
        <v>232.68350598342499</v>
      </c>
      <c r="S160" s="102" cm="1">
        <f t="array" ref="S160">_xlfn.XLOOKUP($A160&amp;S$158,$A$174:$A$209&amp;$B$174:$B$209,$H$174:$H$209)</f>
        <v>231.68251066330799</v>
      </c>
      <c r="T160">
        <f t="shared" si="6"/>
        <v>230.399468692098</v>
      </c>
      <c r="U160">
        <f t="shared" si="6"/>
        <v>230.77533457165299</v>
      </c>
      <c r="V160">
        <f t="shared" si="6"/>
        <v>231.14456930308199</v>
      </c>
      <c r="W160">
        <f t="shared" si="6"/>
        <v>231.67887864199901</v>
      </c>
      <c r="X160">
        <f t="shared" si="6"/>
        <v>232.68350598342499</v>
      </c>
      <c r="Y160">
        <f t="shared" si="6"/>
        <v>231.68251066330799</v>
      </c>
      <c r="Z160" s="102" cm="1">
        <f t="array" ref="Z160">_xlfn.XLOOKUP($A160&amp;Z$158,$A$174:$A$209&amp;$B$174:$B$209,$I$174:$I$209)</f>
        <v>3.6466219924491399</v>
      </c>
      <c r="AA160" s="102" cm="1">
        <f t="array" ref="AA160">_xlfn.XLOOKUP($A160&amp;AA$158,$A$174:$A$209&amp;$B$174:$B$209,$I$174:$I$209)</f>
        <v>5.0482547147618098</v>
      </c>
      <c r="AB160" s="102" cm="1">
        <f t="array" ref="AB160">_xlfn.XLOOKUP($A160&amp;AB$158,$A$174:$A$209&amp;$B$174:$B$209,$I$174:$I$209)</f>
        <v>7.0059900200716498</v>
      </c>
      <c r="AC160" s="102" cm="1">
        <f t="array" ref="AC160">_xlfn.XLOOKUP($A160&amp;AC$158,$A$174:$A$209&amp;$B$174:$B$209,$I$174:$I$209)</f>
        <v>10.3033655213813</v>
      </c>
      <c r="AD160" s="102" cm="1">
        <f t="array" ref="AD160">_xlfn.XLOOKUP($A160&amp;AD$158,$A$174:$A$209&amp;$B$174:$B$209,$I$174:$I$209)</f>
        <v>45.197813795385898</v>
      </c>
      <c r="AE160" s="102" cm="1">
        <f t="array" ref="AE160">_xlfn.XLOOKUP($A160&amp;AE$158,$A$174:$A$209&amp;$B$174:$B$209,$I$174:$I$209)</f>
        <v>10.603864987405499</v>
      </c>
    </row>
    <row r="161" spans="1:31">
      <c r="A161" s="16" t="s">
        <v>271</v>
      </c>
      <c r="B161" s="32">
        <f>IF('Practice Inputs'!$H$18&gt;0,'Practice Inputs'!B14/'Practice Inputs'!$H$18,IF(input_complexity="Low",C30,IF(input_complexity="Moderate",I30,O30)))</f>
        <v>2.329907610006814E-2</v>
      </c>
      <c r="C161" s="32">
        <f>IF('Practice Inputs'!$H$18&gt;0,'Practice Inputs'!C14/'Practice Inputs'!$H$18,IF(input_complexity="Low",D30,IF(input_complexity="Moderate",J30,P30)))</f>
        <v>2.1626090264081913E-2</v>
      </c>
      <c r="D161" s="32">
        <f>IF('Practice Inputs'!$H$18&gt;0,'Practice Inputs'!D14/'Practice Inputs'!$H$18,IF(input_complexity="Low",E30,IF(input_complexity="Moderate",K30,Q30)))</f>
        <v>2.1815175640526714E-2</v>
      </c>
      <c r="E161" s="32">
        <f>IF('Practice Inputs'!$H$18&gt;0,'Practice Inputs'!E14/'Practice Inputs'!$H$18,IF(input_complexity="Low",F30,IF(input_complexity="Moderate",L30,R30)))</f>
        <v>2.4399009320549881E-2</v>
      </c>
      <c r="F161" s="32">
        <f>IF('Practice Inputs'!$H$18&gt;0,'Practice Inputs'!F14/'Practice Inputs'!$H$18,IF(input_complexity="Low",G30,IF(input_complexity="Moderate",M30,S30)))</f>
        <v>2.7185120380025629E-2</v>
      </c>
      <c r="G161" s="32">
        <f>IF('Practice Inputs'!$H$18&gt;0,'Practice Inputs'!G14/'Practice Inputs'!$H$18,IF(input_complexity="Low",H30,IF(input_complexity="Moderate",N30,T30)))</f>
        <v>1.3166018759428035E-3</v>
      </c>
      <c r="H161" s="102" cm="1">
        <f t="array" ref="H161">_xlfn.XLOOKUP($A161&amp;H$158,$A$174:$A$209&amp;$B$174:$B$209,$G$174:$G$209)</f>
        <v>119.995044532329</v>
      </c>
      <c r="I161" s="102" cm="1">
        <f t="array" ref="I161">_xlfn.XLOOKUP($A161&amp;I$158,$A$174:$A$209&amp;$B$174:$B$209,$G$174:$G$209)</f>
        <v>123.519438936744</v>
      </c>
      <c r="J161" s="102" cm="1">
        <f t="array" ref="J161">_xlfn.XLOOKUP($A161&amp;J$158,$A$174:$A$209&amp;$B$174:$B$209,$G$174:$G$209)</f>
        <v>127.044384368987</v>
      </c>
      <c r="K161" s="102" cm="1">
        <f t="array" ref="K161">_xlfn.XLOOKUP($A161&amp;K$158,$A$174:$A$209&amp;$B$174:$B$209,$G$174:$G$209)</f>
        <v>131.26574274877299</v>
      </c>
      <c r="L161" s="102" cm="1">
        <f t="array" ref="L161">_xlfn.XLOOKUP($A161&amp;L$158,$A$174:$A$209&amp;$B$174:$B$209,$G$174:$G$209)</f>
        <v>138.66842561319899</v>
      </c>
      <c r="M161" s="102" cm="1">
        <f t="array" ref="M161">_xlfn.XLOOKUP($A161&amp;M$158,$A$174:$A$209&amp;$B$174:$B$209,$G$174:$G$209)</f>
        <v>131.01633497267801</v>
      </c>
      <c r="N161" s="102" cm="1">
        <f t="array" ref="N161">_xlfn.XLOOKUP($A161&amp;N$158,$A$174:$A$209&amp;$B$174:$B$209,$H$174:$H$209)</f>
        <v>148.672018543842</v>
      </c>
      <c r="O161" s="102" cm="1">
        <f t="array" ref="O161">_xlfn.XLOOKUP($A161&amp;O$158,$A$174:$A$209&amp;$B$174:$B$209,$H$174:$H$209)</f>
        <v>150.70103421938001</v>
      </c>
      <c r="P161" s="102" cm="1">
        <f t="array" ref="P161">_xlfn.XLOOKUP($A161&amp;P$158,$A$174:$A$209&amp;$B$174:$B$209,$H$174:$H$209)</f>
        <v>152.620027908596</v>
      </c>
      <c r="Q161" s="102" cm="1">
        <f t="array" ref="Q161">_xlfn.XLOOKUP($A161&amp;Q$158,$A$174:$A$209&amp;$B$174:$B$209,$H$174:$H$209)</f>
        <v>155.101520258215</v>
      </c>
      <c r="R161" s="102" cm="1">
        <f t="array" ref="R161">_xlfn.XLOOKUP($A161&amp;R$158,$A$174:$A$209&amp;$B$174:$B$209,$H$174:$H$209)</f>
        <v>158.390241759308</v>
      </c>
      <c r="S161" s="102" cm="1">
        <f t="array" ref="S161">_xlfn.XLOOKUP($A161&amp;S$158,$A$174:$A$209&amp;$B$174:$B$209,$H$174:$H$209)</f>
        <v>153.082098542805</v>
      </c>
      <c r="T161">
        <f t="shared" si="6"/>
        <v>148.672018543842</v>
      </c>
      <c r="U161">
        <f t="shared" si="6"/>
        <v>150.70103421938001</v>
      </c>
      <c r="V161">
        <f t="shared" si="6"/>
        <v>152.620027908596</v>
      </c>
      <c r="W161">
        <f t="shared" si="6"/>
        <v>155.101520258215</v>
      </c>
      <c r="X161">
        <f t="shared" si="6"/>
        <v>158.390241759308</v>
      </c>
      <c r="Y161">
        <f t="shared" si="6"/>
        <v>153.082098542805</v>
      </c>
      <c r="Z161" s="102" cm="1">
        <f t="array" ref="Z161">_xlfn.XLOOKUP($A161&amp;Z$158,$A$174:$A$209&amp;$B$174:$B$209,$I$174:$I$209)</f>
        <v>2.6787265006391201</v>
      </c>
      <c r="AA161" s="102" cm="1">
        <f t="array" ref="AA161">_xlfn.XLOOKUP($A161&amp;AA$158,$A$174:$A$209&amp;$B$174:$B$209,$I$174:$I$209)</f>
        <v>3.6412593108802498</v>
      </c>
      <c r="AB161" s="102" cm="1">
        <f t="array" ref="AB161">_xlfn.XLOOKUP($A161&amp;AB$158,$A$174:$A$209&amp;$B$174:$B$209,$I$174:$I$209)</f>
        <v>4.8808282824210698</v>
      </c>
      <c r="AC161" s="102" cm="1">
        <f t="array" ref="AC161">_xlfn.XLOOKUP($A161&amp;AC$158,$A$174:$A$209&amp;$B$174:$B$209,$I$174:$I$209)</f>
        <v>6.8419893404549903</v>
      </c>
      <c r="AD161" s="102" cm="1">
        <f t="array" ref="AD161">_xlfn.XLOOKUP($A161&amp;AD$158,$A$174:$A$209&amp;$B$174:$B$209,$I$174:$I$209)</f>
        <v>32.764869975295603</v>
      </c>
      <c r="AE161" s="102" cm="1">
        <f t="array" ref="AE161">_xlfn.XLOOKUP($A161&amp;AE$158,$A$174:$A$209&amp;$B$174:$B$209,$I$174:$I$209)</f>
        <v>7.5883331511839698</v>
      </c>
    </row>
    <row r="162" spans="1:31">
      <c r="A162" s="16" t="s">
        <v>272</v>
      </c>
      <c r="B162" s="32">
        <f>IF('Practice Inputs'!$H$18&gt;0,'Practice Inputs'!B15/'Practice Inputs'!$H$18,IF(input_complexity="Low",C31,IF(input_complexity="Moderate",I31,O31)))</f>
        <v>4.8786825426426497E-2</v>
      </c>
      <c r="C162" s="32">
        <f>IF('Practice Inputs'!$H$18&gt;0,'Practice Inputs'!C15/'Practice Inputs'!$H$18,IF(input_complexity="Low",D31,IF(input_complexity="Moderate",J31,P31)))</f>
        <v>5.1963099968798915E-2</v>
      </c>
      <c r="D162" s="32">
        <f>IF('Practice Inputs'!$H$18&gt;0,'Practice Inputs'!D15/'Practice Inputs'!$H$18,IF(input_complexity="Low",E31,IF(input_complexity="Moderate",K31,Q31)))</f>
        <v>5.5475770587869636E-2</v>
      </c>
      <c r="E162" s="32">
        <f>IF('Practice Inputs'!$H$18&gt;0,'Practice Inputs'!E15/'Practice Inputs'!$H$18,IF(input_complexity="Low",F31,IF(input_complexity="Moderate",L31,R31)))</f>
        <v>5.7178738248873533E-2</v>
      </c>
      <c r="F162" s="32">
        <f>IF('Practice Inputs'!$H$18&gt;0,'Practice Inputs'!F15/'Practice Inputs'!$H$18,IF(input_complexity="Low",G31,IF(input_complexity="Moderate",M31,S31)))</f>
        <v>5.6492354334802243E-2</v>
      </c>
      <c r="G162" s="32">
        <f>IF('Practice Inputs'!$H$18&gt;0,'Practice Inputs'!G15/'Practice Inputs'!$H$18,IF(input_complexity="Low",H31,IF(input_complexity="Moderate",N31,T31)))</f>
        <v>2.7461352927855135E-3</v>
      </c>
      <c r="H162" s="102" cm="1">
        <f t="array" ref="H162">_xlfn.XLOOKUP($A162&amp;H$158,$A$174:$A$209&amp;$B$174:$B$209,$G$174:$G$209)</f>
        <v>116.965218687163</v>
      </c>
      <c r="I162" s="102" cm="1">
        <f t="array" ref="I162">_xlfn.XLOOKUP($A162&amp;I$158,$A$174:$A$209&amp;$B$174:$B$209,$G$174:$G$209)</f>
        <v>120.19742978978699</v>
      </c>
      <c r="J162" s="102" cm="1">
        <f t="array" ref="J162">_xlfn.XLOOKUP($A162&amp;J$158,$A$174:$A$209&amp;$B$174:$B$209,$G$174:$G$209)</f>
        <v>123.656241341466</v>
      </c>
      <c r="K162" s="102" cm="1">
        <f t="array" ref="K162">_xlfn.XLOOKUP($A162&amp;K$158,$A$174:$A$209&amp;$B$174:$B$209,$G$174:$G$209)</f>
        <v>129.815593172229</v>
      </c>
      <c r="L162" s="102" cm="1">
        <f t="array" ref="L162">_xlfn.XLOOKUP($A162&amp;L$158,$A$174:$A$209&amp;$B$174:$B$209,$G$174:$G$209)</f>
        <v>145.53154346166201</v>
      </c>
      <c r="M162" s="102" cm="1">
        <f t="array" ref="M162">_xlfn.XLOOKUP($A162&amp;M$158,$A$174:$A$209&amp;$B$174:$B$209,$G$174:$G$209)</f>
        <v>139.11663943518499</v>
      </c>
      <c r="N162" s="102" cm="1">
        <f t="array" ref="N162">_xlfn.XLOOKUP($A162&amp;N$158,$A$174:$A$209&amp;$B$174:$B$209,$H$174:$H$209)</f>
        <v>145.51463225473401</v>
      </c>
      <c r="O162" s="102" cm="1">
        <f t="array" ref="O162">_xlfn.XLOOKUP($A162&amp;O$158,$A$174:$A$209&amp;$B$174:$B$209,$H$174:$H$209)</f>
        <v>147.56658989210499</v>
      </c>
      <c r="P162" s="102" cm="1">
        <f t="array" ref="P162">_xlfn.XLOOKUP($A162&amp;P$158,$A$174:$A$209&amp;$B$174:$B$209,$H$174:$H$209)</f>
        <v>149.843586798632</v>
      </c>
      <c r="Q162" s="102" cm="1">
        <f t="array" ref="Q162">_xlfn.XLOOKUP($A162&amp;Q$158,$A$174:$A$209&amp;$B$174:$B$209,$H$174:$H$209)</f>
        <v>154.13565332037601</v>
      </c>
      <c r="R162" s="102" cm="1">
        <f t="array" ref="R162">_xlfn.XLOOKUP($A162&amp;R$158,$A$174:$A$209&amp;$B$174:$B$209,$H$174:$H$209)</f>
        <v>165.40757012521499</v>
      </c>
      <c r="S162" s="102" cm="1">
        <f t="array" ref="S162">_xlfn.XLOOKUP($A162&amp;S$158,$A$174:$A$209&amp;$B$174:$B$209,$H$174:$H$209)</f>
        <v>160.20631390930899</v>
      </c>
      <c r="T162">
        <f t="shared" si="6"/>
        <v>145.51463225473401</v>
      </c>
      <c r="U162">
        <f t="shared" si="6"/>
        <v>147.56658989210499</v>
      </c>
      <c r="V162">
        <f t="shared" si="6"/>
        <v>149.843586798632</v>
      </c>
      <c r="W162">
        <f t="shared" si="6"/>
        <v>154.13565332037601</v>
      </c>
      <c r="X162">
        <f t="shared" si="6"/>
        <v>165.40757012521499</v>
      </c>
      <c r="Y162">
        <f t="shared" si="6"/>
        <v>160.20631390930899</v>
      </c>
      <c r="Z162" s="102" cm="1">
        <f t="array" ref="Z162">_xlfn.XLOOKUP($A162&amp;Z$158,$A$174:$A$209&amp;$B$174:$B$209,$I$174:$I$209)</f>
        <v>1.7971071082668899</v>
      </c>
      <c r="AA162" s="102" cm="1">
        <f t="array" ref="AA162">_xlfn.XLOOKUP($A162&amp;AA$158,$A$174:$A$209&amp;$B$174:$B$209,$I$174:$I$209)</f>
        <v>2.2962412355034099</v>
      </c>
      <c r="AB162" s="102" cm="1">
        <f t="array" ref="AB162">_xlfn.XLOOKUP($A162&amp;AB$158,$A$174:$A$209&amp;$B$174:$B$209,$I$174:$I$209)</f>
        <v>3.0358579051476</v>
      </c>
      <c r="AC162" s="102" cm="1">
        <f t="array" ref="AC162">_xlfn.XLOOKUP($A162&amp;AC$158,$A$174:$A$209&amp;$B$174:$B$209,$I$174:$I$209)</f>
        <v>4.4712934396487496</v>
      </c>
      <c r="AD162" s="102" cm="1">
        <f t="array" ref="AD162">_xlfn.XLOOKUP($A162&amp;AD$158,$A$174:$A$209&amp;$B$174:$B$209,$I$174:$I$209)</f>
        <v>27.922065635647598</v>
      </c>
      <c r="AE162" s="102" cm="1">
        <f t="array" ref="AE162">_xlfn.XLOOKUP($A162&amp;AE$158,$A$174:$A$209&amp;$B$174:$B$209,$I$174:$I$209)</f>
        <v>5.5207354247033997</v>
      </c>
    </row>
    <row r="163" spans="1:31">
      <c r="A163" s="16" t="s">
        <v>273</v>
      </c>
      <c r="B163" s="32">
        <f>IF('Practice Inputs'!$H$18&gt;0,'Practice Inputs'!B16/'Practice Inputs'!$H$18,IF(input_complexity="Low",C32,IF(input_complexity="Moderate",I32,O32)))</f>
        <v>5.7540119179753234E-2</v>
      </c>
      <c r="C163" s="32">
        <f>IF('Practice Inputs'!$H$18&gt;0,'Practice Inputs'!C16/'Practice Inputs'!$H$18,IF(input_complexity="Low",D32,IF(input_complexity="Moderate",J32,P32)))</f>
        <v>5.0414438767219315E-2</v>
      </c>
      <c r="D163" s="32">
        <f>IF('Practice Inputs'!$H$18&gt;0,'Practice Inputs'!D16/'Practice Inputs'!$H$18,IF(input_complexity="Low",E32,IF(input_complexity="Moderate",K32,Q32)))</f>
        <v>4.6791035274416651E-2</v>
      </c>
      <c r="E163" s="32">
        <f>IF('Practice Inputs'!$H$18&gt;0,'Practice Inputs'!E16/'Practice Inputs'!$H$18,IF(input_complexity="Low",F32,IF(input_complexity="Moderate",L32,R32)))</f>
        <v>4.4509818148238539E-2</v>
      </c>
      <c r="F163" s="32">
        <f>IF('Practice Inputs'!$H$18&gt;0,'Practice Inputs'!F16/'Practice Inputs'!$H$18,IF(input_complexity="Low",G32,IF(input_complexity="Moderate",M32,S32)))</f>
        <v>4.2397298757493207E-2</v>
      </c>
      <c r="G163" s="32">
        <f>IF('Practice Inputs'!$H$18&gt;0,'Practice Inputs'!G16/'Practice Inputs'!$H$18,IF(input_complexity="Low",H32,IF(input_complexity="Moderate",N32,T32)))</f>
        <v>4.1095088157558886E-3</v>
      </c>
      <c r="H163" s="102" cm="1">
        <f t="array" ref="H163">_xlfn.XLOOKUP($A163&amp;H$158,$A$174:$A$209&amp;$B$174:$B$209,$G$174:$G$209)</f>
        <v>165.64595458306599</v>
      </c>
      <c r="I163" s="102" cm="1">
        <f t="array" ref="I163">_xlfn.XLOOKUP($A163&amp;I$158,$A$174:$A$209&amp;$B$174:$B$209,$G$174:$G$209)</f>
        <v>175.37796932921501</v>
      </c>
      <c r="J163" s="102" cm="1">
        <f t="array" ref="J163">_xlfn.XLOOKUP($A163&amp;J$158,$A$174:$A$209&amp;$B$174:$B$209,$G$174:$G$209)</f>
        <v>186.42243545197101</v>
      </c>
      <c r="K163" s="102" cm="1">
        <f t="array" ref="K163">_xlfn.XLOOKUP($A163&amp;K$158,$A$174:$A$209&amp;$B$174:$B$209,$G$174:$G$209)</f>
        <v>203.08349496685901</v>
      </c>
      <c r="L163" s="102" cm="1">
        <f t="array" ref="L163">_xlfn.XLOOKUP($A163&amp;L$158,$A$174:$A$209&amp;$B$174:$B$209,$G$174:$G$209)</f>
        <v>239.90194079626599</v>
      </c>
      <c r="M163" s="102" cm="1">
        <f t="array" ref="M163">_xlfn.XLOOKUP($A163&amp;M$158,$A$174:$A$209&amp;$B$174:$B$209,$G$174:$G$209)</f>
        <v>214.30218700389099</v>
      </c>
      <c r="N163" s="102" cm="1">
        <f t="array" ref="N163">_xlfn.XLOOKUP($A163&amp;N$158,$A$174:$A$209&amp;$B$174:$B$209,$H$174:$H$209)</f>
        <v>208.495693805992</v>
      </c>
      <c r="O163" s="102" cm="1">
        <f t="array" ref="O163">_xlfn.XLOOKUP($A163&amp;O$158,$A$174:$A$209&amp;$B$174:$B$209,$H$174:$H$209)</f>
        <v>216.19462838950599</v>
      </c>
      <c r="P163" s="102" cm="1">
        <f t="array" ref="P163">_xlfn.XLOOKUP($A163&amp;P$158,$A$174:$A$209&amp;$B$174:$B$209,$H$174:$H$209)</f>
        <v>224.84807746361599</v>
      </c>
      <c r="Q163" s="102" cm="1">
        <f t="array" ref="Q163">_xlfn.XLOOKUP($A163&amp;Q$158,$A$174:$A$209&amp;$B$174:$B$209,$H$174:$H$209)</f>
        <v>237.99054716279599</v>
      </c>
      <c r="R163" s="102" cm="1">
        <f t="array" ref="R163">_xlfn.XLOOKUP($A163&amp;R$158,$A$174:$A$209&amp;$B$174:$B$209,$H$174:$H$209)</f>
        <v>267.12255674138999</v>
      </c>
      <c r="S163" s="102" cm="1">
        <f t="array" ref="S163">_xlfn.XLOOKUP($A163&amp;S$158,$A$174:$A$209&amp;$B$174:$B$209,$H$174:$H$209)</f>
        <v>251.44803081712101</v>
      </c>
      <c r="T163">
        <f t="shared" si="6"/>
        <v>208.495693805992</v>
      </c>
      <c r="U163">
        <f t="shared" si="6"/>
        <v>216.19462838950599</v>
      </c>
      <c r="V163">
        <f t="shared" si="6"/>
        <v>224.84807746361599</v>
      </c>
      <c r="W163">
        <f t="shared" si="6"/>
        <v>237.99054716279599</v>
      </c>
      <c r="X163">
        <f t="shared" si="6"/>
        <v>267.12255674138999</v>
      </c>
      <c r="Y163">
        <f t="shared" si="6"/>
        <v>251.44803081712101</v>
      </c>
      <c r="Z163" s="102" cm="1">
        <f t="array" ref="Z163">_xlfn.XLOOKUP($A163&amp;Z$158,$A$174:$A$209&amp;$B$174:$B$209,$I$174:$I$209)</f>
        <v>1.9502754737299199</v>
      </c>
      <c r="AA163" s="102" cm="1">
        <f t="array" ref="AA163">_xlfn.XLOOKUP($A163&amp;AA$158,$A$174:$A$209&amp;$B$174:$B$209,$I$174:$I$209)</f>
        <v>2.7172529634020099</v>
      </c>
      <c r="AB163" s="102" cm="1">
        <f t="array" ref="AB163">_xlfn.XLOOKUP($A163&amp;AB$158,$A$174:$A$209&amp;$B$174:$B$209,$I$174:$I$209)</f>
        <v>3.8326532608277799</v>
      </c>
      <c r="AC163" s="102" cm="1">
        <f t="array" ref="AC163">_xlfn.XLOOKUP($A163&amp;AC$158,$A$174:$A$209&amp;$B$174:$B$209,$I$174:$I$209)</f>
        <v>6.05089508002371</v>
      </c>
      <c r="AD163" s="102" cm="1">
        <f t="array" ref="AD163">_xlfn.XLOOKUP($A163&amp;AD$158,$A$174:$A$209&amp;$B$174:$B$209,$I$174:$I$209)</f>
        <v>40.083025251396599</v>
      </c>
      <c r="AE163" s="102" cm="1">
        <f t="array" ref="AE163">_xlfn.XLOOKUP($A163&amp;AE$158,$A$174:$A$209&amp;$B$174:$B$209,$I$174:$I$209)</f>
        <v>7.3630407782101202</v>
      </c>
    </row>
    <row r="164" spans="1:31">
      <c r="A164" s="16" t="s">
        <v>274</v>
      </c>
      <c r="B164" s="32">
        <f>IF('Practice Inputs'!$H$18&gt;0,'Practice Inputs'!B17/'Practice Inputs'!$H$18,IF(input_complexity="Low",C33,IF(input_complexity="Moderate",I33,O33)))</f>
        <v>3.7647378159359798E-2</v>
      </c>
      <c r="C164" s="32">
        <f>IF('Practice Inputs'!$H$18&gt;0,'Practice Inputs'!C17/'Practice Inputs'!$H$18,IF(input_complexity="Low",D33,IF(input_complexity="Moderate",J33,P33)))</f>
        <v>3.6859455797895319E-2</v>
      </c>
      <c r="D164" s="32">
        <f>IF('Practice Inputs'!$H$18&gt;0,'Practice Inputs'!D17/'Practice Inputs'!$H$18,IF(input_complexity="Low",E33,IF(input_complexity="Moderate",K33,Q33)))</f>
        <v>3.5222248273096848E-2</v>
      </c>
      <c r="E164" s="32">
        <f>IF('Practice Inputs'!$H$18&gt;0,'Practice Inputs'!E17/'Practice Inputs'!$H$18,IF(input_complexity="Low",F33,IF(input_complexity="Moderate",L33,R33)))</f>
        <v>3.4056355037576223E-2</v>
      </c>
      <c r="F164" s="32">
        <f>IF('Practice Inputs'!$H$18&gt;0,'Practice Inputs'!F17/'Practice Inputs'!$H$18,IF(input_complexity="Low",G33,IF(input_complexity="Moderate",M33,S33)))</f>
        <v>2.7871104536430016E-2</v>
      </c>
      <c r="G164" s="32">
        <f>IF('Practice Inputs'!$H$18&gt;0,'Practice Inputs'!G17/'Practice Inputs'!$H$18,IF(input_complexity="Low",H33,IF(input_complexity="Moderate",N33,T33)))</f>
        <v>2.3064018591929573E-3</v>
      </c>
      <c r="H164" s="102" cm="1">
        <f t="array" ref="H164">_xlfn.XLOOKUP($A164&amp;H$158,$A$174:$A$209&amp;$B$174:$B$209,$G$174:$G$209)</f>
        <v>342.86905381491101</v>
      </c>
      <c r="I164" s="102" cm="1">
        <f t="array" ref="I164">_xlfn.XLOOKUP($A164&amp;I$158,$A$174:$A$209&amp;$B$174:$B$209,$G$174:$G$209)</f>
        <v>369.338391247858</v>
      </c>
      <c r="J164" s="102" cm="1">
        <f t="array" ref="J164">_xlfn.XLOOKUP($A164&amp;J$158,$A$174:$A$209&amp;$B$174:$B$209,$G$174:$G$209)</f>
        <v>391.97310752817498</v>
      </c>
      <c r="K164" s="102" cm="1">
        <f t="array" ref="K164">_xlfn.XLOOKUP($A164&amp;K$158,$A$174:$A$209&amp;$B$174:$B$209,$G$174:$G$209)</f>
        <v>420.08989030724501</v>
      </c>
      <c r="L164" s="102" cm="1">
        <f t="array" ref="L164">_xlfn.XLOOKUP($A164&amp;L$158,$A$174:$A$209&amp;$B$174:$B$209,$G$174:$G$209)</f>
        <v>453.217442022375</v>
      </c>
      <c r="M164" s="102" cm="1">
        <f t="array" ref="M164">_xlfn.XLOOKUP($A164&amp;M$158,$A$174:$A$209&amp;$B$174:$B$209,$G$174:$G$209)</f>
        <v>418.56251759812801</v>
      </c>
      <c r="N164" s="102" cm="1">
        <f t="array" ref="N164">_xlfn.XLOOKUP($A164&amp;N$158,$A$174:$A$209&amp;$B$174:$B$209,$H$174:$H$209)</f>
        <v>408.25855408727199</v>
      </c>
      <c r="O164" s="102" cm="1">
        <f t="array" ref="O164">_xlfn.XLOOKUP($A164&amp;O$158,$A$174:$A$209&amp;$B$174:$B$209,$H$174:$H$209)</f>
        <v>427.62369100275498</v>
      </c>
      <c r="P164" s="102" cm="1">
        <f t="array" ref="P164">_xlfn.XLOOKUP($A164&amp;P$158,$A$174:$A$209&amp;$B$174:$B$209,$H$174:$H$209)</f>
        <v>444.00776317969797</v>
      </c>
      <c r="Q164" s="102" cm="1">
        <f t="array" ref="Q164">_xlfn.XLOOKUP($A164&amp;Q$158,$A$174:$A$209&amp;$B$174:$B$209,$H$174:$H$209)</f>
        <v>464.25225138832599</v>
      </c>
      <c r="R164" s="102" cm="1">
        <f t="array" ref="R164">_xlfn.XLOOKUP($A164&amp;R$158,$A$174:$A$209&amp;$B$174:$B$209,$H$174:$H$209)</f>
        <v>488.03724808089498</v>
      </c>
      <c r="S164" s="102" cm="1">
        <f t="array" ref="S164">_xlfn.XLOOKUP($A164&amp;S$158,$A$174:$A$209&amp;$B$174:$B$209,$H$174:$H$209)</f>
        <v>465.18977395373003</v>
      </c>
      <c r="T164">
        <f t="shared" si="6"/>
        <v>408.25855408727199</v>
      </c>
      <c r="U164">
        <f t="shared" si="6"/>
        <v>427.62369100275498</v>
      </c>
      <c r="V164">
        <f t="shared" si="6"/>
        <v>444.00776317969797</v>
      </c>
      <c r="W164">
        <f t="shared" si="6"/>
        <v>464.25225138832599</v>
      </c>
      <c r="X164">
        <f t="shared" si="6"/>
        <v>488.03724808089498</v>
      </c>
      <c r="Y164">
        <f t="shared" si="6"/>
        <v>465.18977395373003</v>
      </c>
      <c r="Z164" s="102" cm="1">
        <f t="array" ref="Z164">_xlfn.XLOOKUP($A164&amp;Z$158,$A$174:$A$209&amp;$B$174:$B$209,$I$174:$I$209)</f>
        <v>1.91395975429114</v>
      </c>
      <c r="AA164" s="102" cm="1">
        <f t="array" ref="AA164">_xlfn.XLOOKUP($A164&amp;AA$158,$A$174:$A$209&amp;$B$174:$B$209,$I$174:$I$209)</f>
        <v>2.5820834522699201</v>
      </c>
      <c r="AB164" s="102" cm="1">
        <f t="array" ref="AB164">_xlfn.XLOOKUP($A164&amp;AB$158,$A$174:$A$209&amp;$B$174:$B$209,$I$174:$I$209)</f>
        <v>3.76694941946907</v>
      </c>
      <c r="AC164" s="102" cm="1">
        <f t="array" ref="AC164">_xlfn.XLOOKUP($A164&amp;AC$158,$A$174:$A$209&amp;$B$174:$B$209,$I$174:$I$209)</f>
        <v>6.1732018381899803</v>
      </c>
      <c r="AD164" s="102" cm="1">
        <f t="array" ref="AD164">_xlfn.XLOOKUP($A164&amp;AD$158,$A$174:$A$209&amp;$B$174:$B$209,$I$174:$I$209)</f>
        <v>65.359760826161803</v>
      </c>
      <c r="AE164" s="102" cm="1">
        <f t="array" ref="AE164">_xlfn.XLOOKUP($A164&amp;AE$158,$A$174:$A$209&amp;$B$174:$B$209,$I$174:$I$209)</f>
        <v>6.0288054068105001</v>
      </c>
    </row>
    <row r="165" spans="1:31">
      <c r="A165" s="16"/>
      <c r="B165" s="32"/>
      <c r="G165" s="32">
        <f>SUM(B159:G164)</f>
        <v>0.99999999999999989</v>
      </c>
      <c r="H165" t="s">
        <v>30</v>
      </c>
      <c r="I165" s="102">
        <f>(SUMPRODUCT(B159:B164,H159:H164)+SUMPRODUCT(C159:C164,I159:I164)+SUMPRODUCT(D159:D164,J159:J164)+SUMPRODUCT(E159:E164,K159:K164)+SUMPRODUCT(F159:F164,L159:L164)+SUMPRODUCT(G159:G164,M159:M164))</f>
        <v>231.82634056928217</v>
      </c>
      <c r="N165" t="s">
        <v>638</v>
      </c>
      <c r="O165" s="102">
        <f>(SUMPRODUCT(B159:B164,N159:N164)+SUMPRODUCT(C159:C164,O159:O164)+SUMPRODUCT(D159:D164,P159:P164)+SUMPRODUCT(E159:E164,Q159:Q164)+SUMPRODUCT(F159:F164,R159:R164)+SUMPRODUCT(G159:G164,S159:S164))</f>
        <v>259.83279517254402</v>
      </c>
      <c r="Z165" t="s">
        <v>313</v>
      </c>
      <c r="AA165" s="102">
        <f>(SUMPRODUCT(B159:B164,Z159:Z164)+SUMPRODUCT(C159:C164,AA159:AA164)+SUMPRODUCT(D159:D164,AB159:AB164)+SUMPRODUCT(E159:E164,AC159:AC164)+SUMPRODUCT(F159:F164,AD159:AD164)+SUMPRODUCT(G159:G164,AE159:AE164))</f>
        <v>13.433576914368295</v>
      </c>
    </row>
    <row r="166" spans="1:31">
      <c r="A166" s="39" t="s">
        <v>639</v>
      </c>
    </row>
    <row r="167" spans="1:31">
      <c r="A167" t="s">
        <v>640</v>
      </c>
      <c r="B167" s="31"/>
    </row>
    <row r="168" spans="1:31">
      <c r="A168" t="s">
        <v>641</v>
      </c>
      <c r="B168" s="31"/>
    </row>
    <row r="169" spans="1:31">
      <c r="A169" t="s">
        <v>642</v>
      </c>
      <c r="B169" s="31"/>
    </row>
    <row r="170" spans="1:31">
      <c r="A170" t="s">
        <v>643</v>
      </c>
      <c r="B170" s="31"/>
    </row>
    <row r="171" spans="1:31">
      <c r="B171" s="31"/>
    </row>
    <row r="172" spans="1:31">
      <c r="A172" s="57" t="s">
        <v>644</v>
      </c>
      <c r="B172" s="31"/>
      <c r="I172" s="44"/>
    </row>
    <row r="173" spans="1:31" s="51" customFormat="1" ht="43.75">
      <c r="A173" s="51" t="s">
        <v>571</v>
      </c>
      <c r="B173" s="51" t="s">
        <v>570</v>
      </c>
      <c r="C173" s="51" t="s">
        <v>572</v>
      </c>
      <c r="D173" s="51" t="s">
        <v>645</v>
      </c>
      <c r="E173" s="51" t="s">
        <v>646</v>
      </c>
      <c r="F173" s="51" t="s">
        <v>647</v>
      </c>
      <c r="G173" s="51" t="s">
        <v>648</v>
      </c>
      <c r="H173" s="51" t="s">
        <v>649</v>
      </c>
      <c r="I173" s="51" t="s">
        <v>650</v>
      </c>
      <c r="J173" s="274"/>
    </row>
    <row r="174" spans="1:31">
      <c r="A174" t="s">
        <v>269</v>
      </c>
      <c r="B174">
        <v>1</v>
      </c>
      <c r="C174">
        <v>50524</v>
      </c>
      <c r="D174">
        <v>31254186.7104</v>
      </c>
      <c r="E174">
        <v>31254186.7104</v>
      </c>
      <c r="F174">
        <v>708655.15919999999</v>
      </c>
      <c r="G174">
        <v>618.60079784656796</v>
      </c>
      <c r="H174">
        <v>618.60079784656796</v>
      </c>
      <c r="I174">
        <v>14.0261095558546</v>
      </c>
    </row>
    <row r="175" spans="1:31">
      <c r="A175" t="s">
        <v>269</v>
      </c>
      <c r="B175">
        <v>2</v>
      </c>
      <c r="C175">
        <v>51431</v>
      </c>
      <c r="D175">
        <v>31819675.4628</v>
      </c>
      <c r="E175">
        <v>31819675.4628</v>
      </c>
      <c r="F175">
        <v>923363.93160000001</v>
      </c>
      <c r="G175">
        <v>618.68669601602096</v>
      </c>
      <c r="H175">
        <v>618.68669601602096</v>
      </c>
      <c r="I175">
        <v>17.9534508681534</v>
      </c>
    </row>
    <row r="176" spans="1:31">
      <c r="A176" t="s">
        <v>269</v>
      </c>
      <c r="B176">
        <v>3</v>
      </c>
      <c r="C176">
        <v>55271</v>
      </c>
      <c r="D176">
        <v>34190558.330399998</v>
      </c>
      <c r="E176">
        <v>34190558.330399998</v>
      </c>
      <c r="F176">
        <v>1322940.726</v>
      </c>
      <c r="G176">
        <v>618.59851152322199</v>
      </c>
      <c r="H176">
        <v>618.59851152322199</v>
      </c>
      <c r="I176">
        <v>23.935530857049802</v>
      </c>
    </row>
    <row r="177" spans="1:9">
      <c r="A177" t="s">
        <v>269</v>
      </c>
      <c r="B177">
        <v>4</v>
      </c>
      <c r="C177">
        <v>60643</v>
      </c>
      <c r="D177">
        <v>37527996.7152</v>
      </c>
      <c r="E177">
        <v>37527996.7152</v>
      </c>
      <c r="F177">
        <v>2000686.8959999999</v>
      </c>
      <c r="G177">
        <v>618.83476601091604</v>
      </c>
      <c r="H177">
        <v>618.83476601091604</v>
      </c>
      <c r="I177">
        <v>32.991225631977301</v>
      </c>
    </row>
    <row r="178" spans="1:9">
      <c r="A178" t="s">
        <v>269</v>
      </c>
      <c r="B178">
        <v>5</v>
      </c>
      <c r="C178">
        <v>72638</v>
      </c>
      <c r="D178">
        <v>44943435.3684</v>
      </c>
      <c r="E178">
        <v>44943435.3684</v>
      </c>
      <c r="F178">
        <v>10760972.8104</v>
      </c>
      <c r="G178">
        <v>618.73172951347794</v>
      </c>
      <c r="H178">
        <v>618.73172951347794</v>
      </c>
      <c r="I178">
        <v>148.145224405958</v>
      </c>
    </row>
    <row r="179" spans="1:9">
      <c r="A179" t="s">
        <v>269</v>
      </c>
      <c r="B179" t="s">
        <v>268</v>
      </c>
      <c r="C179">
        <v>2589</v>
      </c>
      <c r="D179">
        <v>1602485.4191999999</v>
      </c>
      <c r="E179">
        <v>1602485.4191999999</v>
      </c>
      <c r="F179">
        <v>102670.4016</v>
      </c>
      <c r="G179">
        <v>618.95921946697604</v>
      </c>
      <c r="H179">
        <v>618.95921946697604</v>
      </c>
      <c r="I179">
        <v>39.656393047508701</v>
      </c>
    </row>
    <row r="180" spans="1:9">
      <c r="A180" t="s">
        <v>270</v>
      </c>
      <c r="B180">
        <v>1</v>
      </c>
      <c r="C180">
        <v>134819</v>
      </c>
      <c r="D180">
        <v>31062225.969599999</v>
      </c>
      <c r="E180">
        <v>31062225.969599999</v>
      </c>
      <c r="F180">
        <v>491633.93040000001</v>
      </c>
      <c r="G180">
        <v>230.399468692098</v>
      </c>
      <c r="H180">
        <v>230.399468692098</v>
      </c>
      <c r="I180">
        <v>3.6466219924491399</v>
      </c>
    </row>
    <row r="181" spans="1:9">
      <c r="A181" t="s">
        <v>270</v>
      </c>
      <c r="B181">
        <v>2</v>
      </c>
      <c r="C181">
        <v>122424</v>
      </c>
      <c r="D181">
        <v>28252439.559599999</v>
      </c>
      <c r="E181">
        <v>28252439.559599999</v>
      </c>
      <c r="F181">
        <v>618027.53520000004</v>
      </c>
      <c r="G181">
        <v>230.77533457165299</v>
      </c>
      <c r="H181">
        <v>230.77533457165299</v>
      </c>
      <c r="I181">
        <v>5.0482547147618098</v>
      </c>
    </row>
    <row r="182" spans="1:9">
      <c r="A182" t="s">
        <v>270</v>
      </c>
      <c r="B182">
        <v>3</v>
      </c>
      <c r="C182">
        <v>118077</v>
      </c>
      <c r="D182">
        <v>27292857.309599999</v>
      </c>
      <c r="E182">
        <v>27292857.309599999</v>
      </c>
      <c r="F182">
        <v>827246.28359999997</v>
      </c>
      <c r="G182">
        <v>231.14456930308199</v>
      </c>
      <c r="H182">
        <v>231.14456930308199</v>
      </c>
      <c r="I182">
        <v>7.0059900200716498</v>
      </c>
    </row>
    <row r="183" spans="1:9">
      <c r="A183" t="s">
        <v>270</v>
      </c>
      <c r="B183">
        <v>4</v>
      </c>
      <c r="C183">
        <v>119941</v>
      </c>
      <c r="D183">
        <v>27787796.383200001</v>
      </c>
      <c r="E183">
        <v>27787796.383200001</v>
      </c>
      <c r="F183">
        <v>1235795.9639999999</v>
      </c>
      <c r="G183">
        <v>231.67887864199901</v>
      </c>
      <c r="H183">
        <v>231.67887864199901</v>
      </c>
      <c r="I183">
        <v>10.3033655213813</v>
      </c>
    </row>
    <row r="184" spans="1:9">
      <c r="A184" t="s">
        <v>270</v>
      </c>
      <c r="B184">
        <v>5</v>
      </c>
      <c r="C184">
        <v>145034</v>
      </c>
      <c r="D184">
        <v>33747019.606799997</v>
      </c>
      <c r="E184">
        <v>33747019.606799997</v>
      </c>
      <c r="F184">
        <v>6555219.7259999998</v>
      </c>
      <c r="G184">
        <v>232.68350598342499</v>
      </c>
      <c r="H184">
        <v>232.68350598342499</v>
      </c>
      <c r="I184">
        <v>45.197813795385898</v>
      </c>
    </row>
    <row r="185" spans="1:9">
      <c r="A185" t="s">
        <v>270</v>
      </c>
      <c r="B185" t="s">
        <v>268</v>
      </c>
      <c r="C185">
        <v>7146</v>
      </c>
      <c r="D185">
        <v>1655603.2212</v>
      </c>
      <c r="E185">
        <v>1655603.2212</v>
      </c>
      <c r="F185">
        <v>75775.219200000007</v>
      </c>
      <c r="G185">
        <v>231.68251066330799</v>
      </c>
      <c r="H185">
        <v>231.68251066330799</v>
      </c>
      <c r="I185">
        <v>10.603864987405499</v>
      </c>
    </row>
    <row r="186" spans="1:9">
      <c r="A186" t="s">
        <v>271</v>
      </c>
      <c r="B186">
        <v>1</v>
      </c>
      <c r="C186">
        <v>116567</v>
      </c>
      <c r="D186">
        <v>13987462.356000001</v>
      </c>
      <c r="E186">
        <v>17330251.185600001</v>
      </c>
      <c r="F186">
        <v>312251.11200000002</v>
      </c>
      <c r="G186">
        <v>119.995044532329</v>
      </c>
      <c r="H186">
        <v>148.672018543842</v>
      </c>
      <c r="I186">
        <v>2.6787265006391201</v>
      </c>
    </row>
    <row r="187" spans="1:9">
      <c r="A187" t="s">
        <v>271</v>
      </c>
      <c r="B187">
        <v>2</v>
      </c>
      <c r="C187">
        <v>108196</v>
      </c>
      <c r="D187">
        <v>13364309.2152</v>
      </c>
      <c r="E187">
        <v>16305249.0984</v>
      </c>
      <c r="F187">
        <v>393969.6924</v>
      </c>
      <c r="G187">
        <v>123.519438936744</v>
      </c>
      <c r="H187">
        <v>150.70103421938001</v>
      </c>
      <c r="I187">
        <v>3.6412593108802498</v>
      </c>
    </row>
    <row r="188" spans="1:9">
      <c r="A188" t="s">
        <v>271</v>
      </c>
      <c r="B188">
        <v>3</v>
      </c>
      <c r="C188">
        <v>109142</v>
      </c>
      <c r="D188">
        <v>13865878.198799999</v>
      </c>
      <c r="E188">
        <v>16657255.085999999</v>
      </c>
      <c r="F188">
        <v>532703.36040000001</v>
      </c>
      <c r="G188">
        <v>127.044384368987</v>
      </c>
      <c r="H188">
        <v>152.620027908596</v>
      </c>
      <c r="I188">
        <v>4.8808282824210698</v>
      </c>
    </row>
    <row r="189" spans="1:9">
      <c r="A189" t="s">
        <v>271</v>
      </c>
      <c r="B189">
        <v>4</v>
      </c>
      <c r="C189">
        <v>122069</v>
      </c>
      <c r="D189">
        <v>16023477.9516</v>
      </c>
      <c r="E189">
        <v>18933087.476399999</v>
      </c>
      <c r="F189">
        <v>835194.79680000001</v>
      </c>
      <c r="G189">
        <v>131.26574274877299</v>
      </c>
      <c r="H189">
        <v>155.101520258215</v>
      </c>
      <c r="I189">
        <v>6.8419893404549903</v>
      </c>
    </row>
    <row r="190" spans="1:9">
      <c r="A190" t="s">
        <v>271</v>
      </c>
      <c r="B190">
        <v>5</v>
      </c>
      <c r="C190">
        <v>136008</v>
      </c>
      <c r="D190">
        <v>18860015.230799999</v>
      </c>
      <c r="E190">
        <v>21542340.001200002</v>
      </c>
      <c r="F190">
        <v>4456284.4356000004</v>
      </c>
      <c r="G190">
        <v>138.66842561319899</v>
      </c>
      <c r="H190">
        <v>158.390241759308</v>
      </c>
      <c r="I190">
        <v>32.764869975295603</v>
      </c>
    </row>
    <row r="191" spans="1:9">
      <c r="A191" t="s">
        <v>271</v>
      </c>
      <c r="B191" t="s">
        <v>268</v>
      </c>
      <c r="C191">
        <v>6588</v>
      </c>
      <c r="D191">
        <v>863135.61479999998</v>
      </c>
      <c r="E191">
        <v>1008504.8652</v>
      </c>
      <c r="F191">
        <v>49991.938800000004</v>
      </c>
      <c r="G191">
        <v>131.01633497267801</v>
      </c>
      <c r="H191">
        <v>153.082098542805</v>
      </c>
      <c r="I191">
        <v>7.5883331511839698</v>
      </c>
    </row>
    <row r="192" spans="1:9">
      <c r="A192" t="s">
        <v>272</v>
      </c>
      <c r="B192">
        <v>1</v>
      </c>
      <c r="C192">
        <v>244082</v>
      </c>
      <c r="D192">
        <v>28549104.507599998</v>
      </c>
      <c r="E192">
        <v>35517502.469999999</v>
      </c>
      <c r="F192">
        <v>438641.49719999998</v>
      </c>
      <c r="G192">
        <v>116.965218687163</v>
      </c>
      <c r="H192">
        <v>145.51463225473401</v>
      </c>
      <c r="I192">
        <v>1.7971071082668899</v>
      </c>
    </row>
    <row r="193" spans="1:9">
      <c r="A193" t="s">
        <v>272</v>
      </c>
      <c r="B193">
        <v>2</v>
      </c>
      <c r="C193">
        <v>259975</v>
      </c>
      <c r="D193">
        <v>31248326.809599999</v>
      </c>
      <c r="E193">
        <v>38363624.207199998</v>
      </c>
      <c r="F193">
        <v>596965.31519999995</v>
      </c>
      <c r="G193">
        <v>120.19742978978699</v>
      </c>
      <c r="H193">
        <v>147.56658989210499</v>
      </c>
      <c r="I193">
        <v>2.2962412355034099</v>
      </c>
    </row>
    <row r="194" spans="1:9">
      <c r="A194" t="s">
        <v>272</v>
      </c>
      <c r="B194">
        <v>3</v>
      </c>
      <c r="C194">
        <v>277547</v>
      </c>
      <c r="D194">
        <v>34320418.8156</v>
      </c>
      <c r="E194">
        <v>41588637.985200003</v>
      </c>
      <c r="F194">
        <v>842593.25399999996</v>
      </c>
      <c r="G194">
        <v>123.656241341466</v>
      </c>
      <c r="H194">
        <v>149.843586798632</v>
      </c>
      <c r="I194">
        <v>3.0358579051476</v>
      </c>
    </row>
    <row r="195" spans="1:9">
      <c r="A195" t="s">
        <v>272</v>
      </c>
      <c r="B195">
        <v>4</v>
      </c>
      <c r="C195">
        <v>286067</v>
      </c>
      <c r="D195">
        <v>37135957.292000003</v>
      </c>
      <c r="E195">
        <v>44093123.9384</v>
      </c>
      <c r="F195">
        <v>1279089.5004</v>
      </c>
      <c r="G195">
        <v>129.815593172229</v>
      </c>
      <c r="H195">
        <v>154.13565332037601</v>
      </c>
      <c r="I195">
        <v>4.4712934396487496</v>
      </c>
    </row>
    <row r="196" spans="1:9">
      <c r="A196" t="s">
        <v>272</v>
      </c>
      <c r="B196">
        <v>5</v>
      </c>
      <c r="C196">
        <v>282633</v>
      </c>
      <c r="D196">
        <v>41132016.723200001</v>
      </c>
      <c r="E196">
        <v>46749637.767200001</v>
      </c>
      <c r="F196">
        <v>7891697.1767999995</v>
      </c>
      <c r="G196">
        <v>145.53154346166201</v>
      </c>
      <c r="H196">
        <v>165.40757012521499</v>
      </c>
      <c r="I196">
        <v>27.922065635647598</v>
      </c>
    </row>
    <row r="197" spans="1:9">
      <c r="A197" t="s">
        <v>272</v>
      </c>
      <c r="B197" t="s">
        <v>268</v>
      </c>
      <c r="C197">
        <v>13739</v>
      </c>
      <c r="D197">
        <v>1911323.5092</v>
      </c>
      <c r="E197">
        <v>2201074.5468000001</v>
      </c>
      <c r="F197">
        <v>75849.384000000005</v>
      </c>
      <c r="G197">
        <v>139.11663943518499</v>
      </c>
      <c r="H197">
        <v>160.20631390930899</v>
      </c>
      <c r="I197">
        <v>5.5207354247033997</v>
      </c>
    </row>
    <row r="198" spans="1:9">
      <c r="A198" t="s">
        <v>273</v>
      </c>
      <c r="B198">
        <v>1</v>
      </c>
      <c r="C198">
        <v>287875</v>
      </c>
      <c r="D198">
        <v>47685329.1756</v>
      </c>
      <c r="E198">
        <v>60020697.854400001</v>
      </c>
      <c r="F198">
        <v>561435.55200000003</v>
      </c>
      <c r="G198">
        <v>165.64595458306599</v>
      </c>
      <c r="H198">
        <v>208.495693805992</v>
      </c>
      <c r="I198">
        <v>1.9502754737299199</v>
      </c>
    </row>
    <row r="199" spans="1:9">
      <c r="A199" t="s">
        <v>273</v>
      </c>
      <c r="B199">
        <v>2</v>
      </c>
      <c r="C199">
        <v>252227</v>
      </c>
      <c r="D199">
        <v>44235059.07</v>
      </c>
      <c r="E199">
        <v>54530122.5348</v>
      </c>
      <c r="F199">
        <v>685364.56319999998</v>
      </c>
      <c r="G199">
        <v>175.37796932921501</v>
      </c>
      <c r="H199">
        <v>216.19462838950599</v>
      </c>
      <c r="I199">
        <v>2.7172529634020099</v>
      </c>
    </row>
    <row r="200" spans="1:9">
      <c r="A200" t="s">
        <v>273</v>
      </c>
      <c r="B200">
        <v>3</v>
      </c>
      <c r="C200">
        <v>234097</v>
      </c>
      <c r="D200">
        <v>43640932.872000001</v>
      </c>
      <c r="E200">
        <v>52636260.390000001</v>
      </c>
      <c r="F200">
        <v>897212.63040000002</v>
      </c>
      <c r="G200">
        <v>186.42243545197101</v>
      </c>
      <c r="H200">
        <v>224.84807746361599</v>
      </c>
      <c r="I200">
        <v>3.8326532608277799</v>
      </c>
    </row>
    <row r="201" spans="1:9">
      <c r="A201" t="s">
        <v>273</v>
      </c>
      <c r="B201">
        <v>4</v>
      </c>
      <c r="C201">
        <v>222684</v>
      </c>
      <c r="D201">
        <v>45223444.993199997</v>
      </c>
      <c r="E201">
        <v>52996687.0044</v>
      </c>
      <c r="F201">
        <v>1347437.52</v>
      </c>
      <c r="G201">
        <v>203.08349496685901</v>
      </c>
      <c r="H201">
        <v>237.99054716279599</v>
      </c>
      <c r="I201">
        <v>6.05089508002371</v>
      </c>
    </row>
    <row r="202" spans="1:9">
      <c r="A202" t="s">
        <v>273</v>
      </c>
      <c r="B202">
        <v>5</v>
      </c>
      <c r="C202">
        <v>212115</v>
      </c>
      <c r="D202">
        <v>50886800.171999998</v>
      </c>
      <c r="E202">
        <v>56660701.123199999</v>
      </c>
      <c r="F202">
        <v>8502210.9012000002</v>
      </c>
      <c r="G202">
        <v>239.90194079626599</v>
      </c>
      <c r="H202">
        <v>267.12255674138999</v>
      </c>
      <c r="I202">
        <v>40.083025251396599</v>
      </c>
    </row>
    <row r="203" spans="1:9">
      <c r="A203" t="s">
        <v>273</v>
      </c>
      <c r="B203" t="s">
        <v>268</v>
      </c>
      <c r="C203">
        <v>20560</v>
      </c>
      <c r="D203">
        <v>4406052.9648000002</v>
      </c>
      <c r="E203">
        <v>5169771.5136000002</v>
      </c>
      <c r="F203">
        <v>151384.11840000001</v>
      </c>
      <c r="G203">
        <v>214.30218700389099</v>
      </c>
      <c r="H203">
        <v>251.44803081712101</v>
      </c>
      <c r="I203">
        <v>7.3630407782101202</v>
      </c>
    </row>
    <row r="204" spans="1:9">
      <c r="A204" t="s">
        <v>274</v>
      </c>
      <c r="B204">
        <v>1</v>
      </c>
      <c r="C204">
        <v>188353</v>
      </c>
      <c r="D204">
        <v>64580414.893200003</v>
      </c>
      <c r="E204">
        <v>76896723.437999994</v>
      </c>
      <c r="F204">
        <v>360500.06160000002</v>
      </c>
      <c r="G204">
        <v>342.86905381491101</v>
      </c>
      <c r="H204">
        <v>408.25855408727199</v>
      </c>
      <c r="I204">
        <v>1.91395975429114</v>
      </c>
    </row>
    <row r="205" spans="1:9">
      <c r="A205" t="s">
        <v>274</v>
      </c>
      <c r="B205">
        <v>2</v>
      </c>
      <c r="C205">
        <v>184412</v>
      </c>
      <c r="D205">
        <v>68110431.406800002</v>
      </c>
      <c r="E205">
        <v>78858940.105199993</v>
      </c>
      <c r="F205">
        <v>476167.17359999998</v>
      </c>
      <c r="G205">
        <v>369.338391247858</v>
      </c>
      <c r="H205">
        <v>427.62369100275498</v>
      </c>
      <c r="I205">
        <v>2.5820834522699201</v>
      </c>
    </row>
    <row r="206" spans="1:9">
      <c r="A206" t="s">
        <v>274</v>
      </c>
      <c r="B206">
        <v>3</v>
      </c>
      <c r="C206">
        <v>176218</v>
      </c>
      <c r="D206">
        <v>69072717.062399998</v>
      </c>
      <c r="E206">
        <v>78242160.011999995</v>
      </c>
      <c r="F206">
        <v>663804.29280000005</v>
      </c>
      <c r="G206">
        <v>391.97310752817498</v>
      </c>
      <c r="H206">
        <v>444.00776317969797</v>
      </c>
      <c r="I206">
        <v>3.76694941946907</v>
      </c>
    </row>
    <row r="207" spans="1:9">
      <c r="A207" t="s">
        <v>274</v>
      </c>
      <c r="B207">
        <v>4</v>
      </c>
      <c r="C207">
        <v>170385</v>
      </c>
      <c r="D207">
        <v>71577015.959999993</v>
      </c>
      <c r="E207">
        <v>79101619.852799997</v>
      </c>
      <c r="F207">
        <v>1051820.9952</v>
      </c>
      <c r="G207">
        <v>420.08989030724501</v>
      </c>
      <c r="H207">
        <v>464.25225138832599</v>
      </c>
      <c r="I207">
        <v>6.1732018381899803</v>
      </c>
    </row>
    <row r="208" spans="1:9">
      <c r="A208" t="s">
        <v>274</v>
      </c>
      <c r="B208">
        <v>5</v>
      </c>
      <c r="C208">
        <v>139440</v>
      </c>
      <c r="D208">
        <v>63196640.115599997</v>
      </c>
      <c r="E208">
        <v>68051913.872400001</v>
      </c>
      <c r="F208">
        <v>9113765.0495999996</v>
      </c>
      <c r="G208">
        <v>453.217442022375</v>
      </c>
      <c r="H208">
        <v>488.03724808089498</v>
      </c>
      <c r="I208">
        <v>65.359760826161803</v>
      </c>
    </row>
    <row r="209" spans="1:9">
      <c r="A209" t="s">
        <v>274</v>
      </c>
      <c r="B209" t="s">
        <v>268</v>
      </c>
      <c r="C209">
        <v>11541</v>
      </c>
      <c r="D209">
        <v>4830630.0155999996</v>
      </c>
      <c r="E209">
        <v>5368755.1812000005</v>
      </c>
      <c r="F209">
        <v>69578.443199999994</v>
      </c>
      <c r="G209">
        <v>418.56251759812801</v>
      </c>
      <c r="H209">
        <v>465.18977395373003</v>
      </c>
      <c r="I209">
        <v>6.0288054068105001</v>
      </c>
    </row>
  </sheetData>
  <sheetProtection sheet="1" objects="1" scenarios="1"/>
  <phoneticPr fontId="7" type="noConversion"/>
  <conditionalFormatting sqref="C28:T33">
    <cfRule type="colorScale" priority="1">
      <colorScale>
        <cfvo type="min"/>
        <cfvo type="percentile" val="50"/>
        <cfvo type="max"/>
        <color rgb="FF63BE7B"/>
        <color rgb="FFFFEB84"/>
        <color rgb="FFF8696B"/>
      </colorScale>
    </cfRule>
  </conditionalFormatting>
  <hyperlinks>
    <hyperlink ref="A16" r:id="rId1" display="https://equityhealthj.biomedcentral.com/articles/10.1186/s12939-023-01893-8/tables/4" xr:uid="{A29F4E78-5833-45BB-A562-FD7B369BDCAD}"/>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CDC02-F7E8-40D9-B7D9-32740265E665}">
  <sheetPr codeName="Sheet1"/>
  <dimension ref="A1:L40"/>
  <sheetViews>
    <sheetView workbookViewId="0">
      <selection activeCell="F5" sqref="F5"/>
    </sheetView>
  </sheetViews>
  <sheetFormatPr defaultColWidth="8.84375" defaultRowHeight="12"/>
  <cols>
    <col min="1" max="1" width="14.53515625" style="4" customWidth="1"/>
    <col min="2" max="16384" width="8.84375" style="4"/>
  </cols>
  <sheetData>
    <row r="1" spans="1:6">
      <c r="A1" s="10" t="s">
        <v>651</v>
      </c>
      <c r="B1" s="10" t="s">
        <v>652</v>
      </c>
    </row>
    <row r="2" spans="1:6">
      <c r="A2" s="11" t="s">
        <v>653</v>
      </c>
      <c r="B2" s="11" t="s">
        <v>654</v>
      </c>
    </row>
    <row r="3" spans="1:6">
      <c r="A3" s="11" t="s">
        <v>655</v>
      </c>
      <c r="B3" s="11" t="s">
        <v>656</v>
      </c>
      <c r="F3" s="5"/>
    </row>
    <row r="4" spans="1:6">
      <c r="A4" s="11" t="s">
        <v>657</v>
      </c>
      <c r="B4" s="11" t="s">
        <v>658</v>
      </c>
      <c r="F4" s="6"/>
    </row>
    <row r="5" spans="1:6">
      <c r="A5" s="11" t="s">
        <v>659</v>
      </c>
      <c r="B5" s="11" t="s">
        <v>660</v>
      </c>
      <c r="F5" s="7"/>
    </row>
    <row r="6" spans="1:6">
      <c r="A6" s="11" t="s">
        <v>661</v>
      </c>
      <c r="B6" s="11" t="s">
        <v>662</v>
      </c>
      <c r="F6" s="8"/>
    </row>
    <row r="7" spans="1:6">
      <c r="A7" s="11" t="s">
        <v>663</v>
      </c>
      <c r="B7" s="11" t="s">
        <v>664</v>
      </c>
      <c r="F7" s="9"/>
    </row>
    <row r="8" spans="1:6">
      <c r="A8" s="11" t="s">
        <v>665</v>
      </c>
      <c r="B8" s="11" t="s">
        <v>666</v>
      </c>
    </row>
    <row r="9" spans="1:6">
      <c r="A9" s="11" t="s">
        <v>667</v>
      </c>
      <c r="B9" s="11" t="s">
        <v>668</v>
      </c>
    </row>
    <row r="10" spans="1:6">
      <c r="A10" s="11" t="s">
        <v>669</v>
      </c>
      <c r="B10" s="11" t="s">
        <v>670</v>
      </c>
    </row>
    <row r="11" spans="1:6">
      <c r="A11" s="11" t="s">
        <v>671</v>
      </c>
      <c r="B11" s="11" t="s">
        <v>672</v>
      </c>
    </row>
    <row r="12" spans="1:6">
      <c r="A12" s="11" t="s">
        <v>663</v>
      </c>
      <c r="B12" s="11" t="s">
        <v>673</v>
      </c>
    </row>
    <row r="13" spans="1:6">
      <c r="A13" s="11" t="s">
        <v>667</v>
      </c>
      <c r="B13" s="11" t="s">
        <v>674</v>
      </c>
    </row>
    <row r="14" spans="1:6">
      <c r="A14" s="11" t="s">
        <v>659</v>
      </c>
      <c r="B14" s="11" t="s">
        <v>675</v>
      </c>
    </row>
    <row r="15" spans="1:6">
      <c r="A15" s="11" t="s">
        <v>671</v>
      </c>
      <c r="B15" s="11" t="s">
        <v>676</v>
      </c>
    </row>
    <row r="16" spans="1:6">
      <c r="A16" s="11" t="s">
        <v>665</v>
      </c>
      <c r="B16" s="11" t="s">
        <v>677</v>
      </c>
    </row>
    <row r="17" spans="1:12">
      <c r="A17" s="11" t="s">
        <v>678</v>
      </c>
      <c r="B17" s="11" t="s">
        <v>679</v>
      </c>
      <c r="L17" s="4" t="s">
        <v>680</v>
      </c>
    </row>
    <row r="18" spans="1:12">
      <c r="A18" s="11" t="s">
        <v>661</v>
      </c>
      <c r="B18" s="11" t="s">
        <v>681</v>
      </c>
    </row>
    <row r="19" spans="1:12">
      <c r="A19" s="11" t="s">
        <v>655</v>
      </c>
      <c r="B19" s="11" t="s">
        <v>682</v>
      </c>
    </row>
    <row r="20" spans="1:12">
      <c r="A20" s="11" t="s">
        <v>683</v>
      </c>
      <c r="B20" s="11" t="s">
        <v>684</v>
      </c>
    </row>
    <row r="21" spans="1:12">
      <c r="A21" s="11" t="s">
        <v>678</v>
      </c>
      <c r="B21" s="11" t="s">
        <v>685</v>
      </c>
    </row>
    <row r="22" spans="1:12">
      <c r="A22" s="11" t="s">
        <v>686</v>
      </c>
      <c r="B22" s="11" t="s">
        <v>687</v>
      </c>
    </row>
    <row r="23" spans="1:12">
      <c r="A23" s="11" t="s">
        <v>667</v>
      </c>
      <c r="B23" s="11" t="s">
        <v>688</v>
      </c>
    </row>
    <row r="24" spans="1:12">
      <c r="A24" s="11" t="s">
        <v>653</v>
      </c>
      <c r="B24" s="11" t="s">
        <v>689</v>
      </c>
    </row>
    <row r="25" spans="1:12">
      <c r="A25" s="11" t="s">
        <v>659</v>
      </c>
      <c r="B25" s="11" t="s">
        <v>690</v>
      </c>
    </row>
    <row r="26" spans="1:12">
      <c r="A26" s="11" t="s">
        <v>683</v>
      </c>
      <c r="B26" s="11" t="s">
        <v>691</v>
      </c>
    </row>
    <row r="27" spans="1:12">
      <c r="A27" s="11" t="s">
        <v>692</v>
      </c>
      <c r="B27" s="11" t="s">
        <v>693</v>
      </c>
    </row>
    <row r="28" spans="1:12">
      <c r="A28" s="11" t="s">
        <v>686</v>
      </c>
      <c r="B28" s="11" t="s">
        <v>694</v>
      </c>
    </row>
    <row r="29" spans="1:12">
      <c r="A29" s="11" t="s">
        <v>695</v>
      </c>
      <c r="B29" s="11" t="s">
        <v>696</v>
      </c>
    </row>
    <row r="30" spans="1:12">
      <c r="A30" s="11" t="s">
        <v>659</v>
      </c>
      <c r="B30" s="11" t="s">
        <v>697</v>
      </c>
    </row>
    <row r="31" spans="1:12">
      <c r="A31" s="11" t="s">
        <v>663</v>
      </c>
      <c r="B31" s="11" t="s">
        <v>698</v>
      </c>
    </row>
    <row r="32" spans="1:12">
      <c r="A32" s="11" t="s">
        <v>699</v>
      </c>
      <c r="B32" s="11" t="s">
        <v>700</v>
      </c>
    </row>
    <row r="33" spans="1:2">
      <c r="A33" s="11" t="s">
        <v>663</v>
      </c>
      <c r="B33" s="11" t="s">
        <v>701</v>
      </c>
    </row>
    <row r="34" spans="1:2">
      <c r="A34" s="11" t="s">
        <v>661</v>
      </c>
      <c r="B34" s="11" t="s">
        <v>702</v>
      </c>
    </row>
    <row r="35" spans="1:2">
      <c r="A35" s="11" t="s">
        <v>703</v>
      </c>
      <c r="B35" s="11" t="s">
        <v>704</v>
      </c>
    </row>
    <row r="36" spans="1:2">
      <c r="A36" s="11" t="s">
        <v>655</v>
      </c>
      <c r="B36" s="11" t="s">
        <v>705</v>
      </c>
    </row>
    <row r="37" spans="1:2">
      <c r="A37" s="11" t="s">
        <v>706</v>
      </c>
      <c r="B37" s="11" t="s">
        <v>707</v>
      </c>
    </row>
    <row r="38" spans="1:2">
      <c r="A38" s="11" t="s">
        <v>708</v>
      </c>
      <c r="B38" s="11" t="s">
        <v>709</v>
      </c>
    </row>
    <row r="39" spans="1:2">
      <c r="A39" s="11" t="s">
        <v>665</v>
      </c>
      <c r="B39" s="11" t="s">
        <v>710</v>
      </c>
    </row>
    <row r="40" spans="1:2">
      <c r="A40" s="11" t="s">
        <v>711</v>
      </c>
      <c r="B40" s="11" t="s">
        <v>712</v>
      </c>
    </row>
  </sheetData>
  <sortState xmlns:xlrd2="http://schemas.microsoft.com/office/spreadsheetml/2017/richdata2" ref="A2:B40">
    <sortCondition ref="B2:B40"/>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2832-BCE4-43F3-9BF8-312654D5533D}">
  <dimension ref="A1:K44"/>
  <sheetViews>
    <sheetView topLeftCell="A5" workbookViewId="0">
      <selection activeCell="O14" sqref="O14"/>
    </sheetView>
  </sheetViews>
  <sheetFormatPr defaultRowHeight="14.6"/>
  <sheetData>
    <row r="1" spans="1:11">
      <c r="A1" s="154"/>
      <c r="B1" s="154"/>
      <c r="C1" s="154"/>
      <c r="D1" s="154"/>
      <c r="E1" s="154"/>
      <c r="F1" s="154"/>
      <c r="G1" s="154"/>
      <c r="H1" s="154"/>
      <c r="I1" s="154"/>
      <c r="J1" s="154"/>
      <c r="K1" s="154"/>
    </row>
    <row r="2" spans="1:11">
      <c r="A2" s="303" t="s">
        <v>713</v>
      </c>
      <c r="B2" s="311" t="s">
        <v>714</v>
      </c>
      <c r="C2" s="311"/>
      <c r="D2" s="311"/>
      <c r="E2" s="154"/>
      <c r="F2" s="154"/>
      <c r="G2" s="154"/>
      <c r="H2" s="154"/>
      <c r="I2" s="154"/>
      <c r="J2" s="154"/>
      <c r="K2" s="154"/>
    </row>
    <row r="3" spans="1:11">
      <c r="A3" s="303" t="s">
        <v>715</v>
      </c>
      <c r="B3" s="311" t="s">
        <v>716</v>
      </c>
      <c r="C3" s="311"/>
      <c r="D3" s="311"/>
      <c r="E3" s="311"/>
      <c r="F3" s="311"/>
      <c r="G3" s="311"/>
      <c r="H3" s="311"/>
      <c r="I3" s="154"/>
      <c r="J3" s="154"/>
      <c r="K3" s="154"/>
    </row>
    <row r="4" spans="1:11">
      <c r="A4" s="303" t="s">
        <v>715</v>
      </c>
      <c r="B4" s="311" t="s">
        <v>717</v>
      </c>
      <c r="C4" s="311"/>
      <c r="D4" s="311"/>
      <c r="E4" s="311"/>
      <c r="F4" s="311"/>
      <c r="G4" s="311"/>
      <c r="H4" s="311"/>
      <c r="I4" s="311"/>
      <c r="J4" s="311"/>
      <c r="K4" s="154"/>
    </row>
    <row r="5" spans="1:11">
      <c r="A5" s="154" t="s">
        <v>715</v>
      </c>
      <c r="B5" s="311" t="s">
        <v>718</v>
      </c>
      <c r="C5" s="311"/>
      <c r="D5" s="311"/>
      <c r="E5" s="311"/>
      <c r="F5" s="311"/>
      <c r="G5" s="311"/>
      <c r="H5" s="311"/>
      <c r="I5" s="154"/>
      <c r="J5" s="154"/>
      <c r="K5" s="154"/>
    </row>
    <row r="6" spans="1:11">
      <c r="A6" s="154"/>
      <c r="B6" s="311" t="s">
        <v>719</v>
      </c>
      <c r="C6" s="311"/>
      <c r="D6" s="311"/>
      <c r="E6" s="311"/>
      <c r="F6" s="154"/>
      <c r="G6" s="154"/>
      <c r="H6" s="154"/>
      <c r="I6" s="154"/>
      <c r="J6" s="154"/>
      <c r="K6" s="154"/>
    </row>
    <row r="7" spans="1:11">
      <c r="A7" s="154" t="s">
        <v>715</v>
      </c>
      <c r="B7" s="311" t="s">
        <v>720</v>
      </c>
      <c r="C7" s="311"/>
      <c r="D7" s="311"/>
      <c r="E7" s="311"/>
      <c r="F7" s="154"/>
      <c r="G7" s="154"/>
      <c r="H7" s="154"/>
      <c r="I7" s="154"/>
      <c r="J7" s="154"/>
      <c r="K7" s="154"/>
    </row>
    <row r="8" spans="1:11">
      <c r="A8" s="154" t="s">
        <v>715</v>
      </c>
      <c r="B8" s="311" t="s">
        <v>721</v>
      </c>
      <c r="C8" s="311"/>
      <c r="D8" s="311"/>
      <c r="E8" s="311"/>
      <c r="F8" s="311"/>
      <c r="G8" s="154"/>
      <c r="H8" s="154"/>
      <c r="I8" s="154"/>
      <c r="J8" s="154"/>
      <c r="K8" s="154"/>
    </row>
    <row r="9" spans="1:11">
      <c r="A9" s="154" t="s">
        <v>715</v>
      </c>
      <c r="B9" s="311" t="s">
        <v>722</v>
      </c>
      <c r="C9" s="311"/>
      <c r="D9" s="311"/>
      <c r="E9" s="154"/>
      <c r="F9" s="154"/>
      <c r="G9" s="154"/>
      <c r="H9" s="154"/>
      <c r="I9" s="154"/>
      <c r="J9" s="154"/>
      <c r="K9" s="154"/>
    </row>
    <row r="10" spans="1:11">
      <c r="A10" s="154"/>
      <c r="B10" s="311" t="s">
        <v>723</v>
      </c>
      <c r="C10" s="311"/>
      <c r="D10" s="311"/>
      <c r="E10" s="154"/>
      <c r="F10" s="154"/>
      <c r="G10" s="154"/>
      <c r="H10" s="154"/>
      <c r="I10" s="154"/>
      <c r="J10" s="154"/>
      <c r="K10" s="154"/>
    </row>
    <row r="11" spans="1:11">
      <c r="A11" s="154"/>
      <c r="B11" s="303" t="s">
        <v>724</v>
      </c>
      <c r="C11" s="303"/>
      <c r="D11" s="303"/>
      <c r="E11" s="303"/>
      <c r="F11" s="303"/>
      <c r="G11" s="303"/>
      <c r="H11" s="303"/>
      <c r="I11" s="154"/>
      <c r="J11" s="154"/>
      <c r="K11" s="154"/>
    </row>
    <row r="12" spans="1:11">
      <c r="A12" s="154" t="s">
        <v>715</v>
      </c>
      <c r="B12" s="303" t="s">
        <v>725</v>
      </c>
      <c r="C12" s="303"/>
      <c r="D12" s="303"/>
      <c r="E12" s="303"/>
      <c r="F12" s="154"/>
      <c r="G12" s="154"/>
      <c r="H12" s="154"/>
      <c r="I12" s="154"/>
      <c r="J12" s="154"/>
      <c r="K12" s="154"/>
    </row>
    <row r="13" spans="1:11">
      <c r="A13" s="154" t="s">
        <v>715</v>
      </c>
      <c r="B13" s="154" t="s">
        <v>726</v>
      </c>
      <c r="C13" s="154"/>
      <c r="D13" s="154"/>
      <c r="E13" s="154"/>
      <c r="F13" s="154"/>
      <c r="G13" s="154"/>
      <c r="H13" s="154"/>
      <c r="I13" s="154"/>
      <c r="J13" s="154"/>
      <c r="K13" s="154"/>
    </row>
    <row r="14" spans="1:11">
      <c r="A14" s="154" t="s">
        <v>715</v>
      </c>
      <c r="B14" s="154" t="s">
        <v>727</v>
      </c>
      <c r="C14" s="154"/>
      <c r="D14" s="154"/>
      <c r="E14" s="154"/>
      <c r="F14" s="154"/>
      <c r="G14" s="154"/>
      <c r="H14" s="154"/>
      <c r="I14" s="154"/>
      <c r="J14" s="154"/>
      <c r="K14" s="154"/>
    </row>
    <row r="15" spans="1:11">
      <c r="A15" s="154" t="s">
        <v>715</v>
      </c>
      <c r="B15" s="154" t="s">
        <v>728</v>
      </c>
      <c r="C15" s="154"/>
      <c r="D15" s="154"/>
      <c r="E15" s="154"/>
      <c r="F15" s="154"/>
      <c r="G15" s="154"/>
      <c r="H15" s="154"/>
      <c r="I15" s="154"/>
      <c r="J15" s="154"/>
      <c r="K15" s="154"/>
    </row>
    <row r="16" spans="1:11">
      <c r="A16" s="154" t="s">
        <v>715</v>
      </c>
      <c r="B16" s="96" t="s">
        <v>729</v>
      </c>
      <c r="C16" s="154"/>
      <c r="D16" s="154"/>
      <c r="E16" s="154"/>
      <c r="F16" s="154"/>
      <c r="G16" s="154"/>
      <c r="H16" s="154"/>
      <c r="I16" s="154"/>
      <c r="J16" s="154"/>
      <c r="K16" s="154"/>
    </row>
    <row r="17" spans="1:11">
      <c r="A17" s="154"/>
      <c r="B17" s="96" t="s">
        <v>730</v>
      </c>
      <c r="C17" s="154"/>
      <c r="D17" s="154"/>
      <c r="E17" s="154"/>
      <c r="F17" s="154"/>
      <c r="G17" s="154"/>
      <c r="H17" s="154"/>
      <c r="I17" s="154"/>
      <c r="J17" s="154"/>
      <c r="K17" s="154"/>
    </row>
    <row r="18" spans="1:11">
      <c r="A18" s="154"/>
      <c r="B18" s="96" t="s">
        <v>731</v>
      </c>
      <c r="C18" s="154"/>
      <c r="D18" s="154"/>
      <c r="E18" s="154"/>
      <c r="F18" s="154"/>
      <c r="G18" s="154"/>
      <c r="H18" s="154"/>
      <c r="I18" s="154"/>
      <c r="J18" s="154"/>
      <c r="K18" s="154"/>
    </row>
    <row r="19" spans="1:11">
      <c r="A19" s="154" t="s">
        <v>715</v>
      </c>
      <c r="B19" s="96" t="s">
        <v>732</v>
      </c>
      <c r="C19" s="154"/>
      <c r="D19" s="154"/>
      <c r="E19" s="154"/>
      <c r="F19" s="154"/>
      <c r="G19" s="154"/>
      <c r="H19" s="154"/>
      <c r="I19" s="154"/>
      <c r="J19" s="154"/>
      <c r="K19" s="154"/>
    </row>
    <row r="20" spans="1:11">
      <c r="A20" s="154" t="s">
        <v>715</v>
      </c>
      <c r="B20" s="96" t="s">
        <v>733</v>
      </c>
      <c r="C20" s="154"/>
      <c r="D20" s="154"/>
      <c r="E20" s="154"/>
      <c r="F20" s="154"/>
      <c r="G20" s="154"/>
      <c r="H20" s="154"/>
      <c r="I20" s="154"/>
      <c r="J20" s="154"/>
      <c r="K20" s="154"/>
    </row>
    <row r="21" spans="1:11">
      <c r="A21" s="154" t="s">
        <v>715</v>
      </c>
      <c r="B21" s="96" t="s">
        <v>734</v>
      </c>
      <c r="C21" s="154"/>
      <c r="D21" s="154"/>
      <c r="E21" s="154"/>
      <c r="F21" s="154"/>
      <c r="G21" s="154"/>
      <c r="H21" s="154"/>
      <c r="I21" s="154"/>
      <c r="J21" s="154"/>
      <c r="K21" s="154"/>
    </row>
    <row r="22" spans="1:11">
      <c r="A22" s="154"/>
      <c r="B22" s="96" t="s">
        <v>735</v>
      </c>
      <c r="C22" s="154"/>
      <c r="D22" s="154"/>
      <c r="E22" s="154"/>
      <c r="F22" s="154"/>
      <c r="G22" s="154"/>
      <c r="H22" s="154"/>
      <c r="I22" s="154"/>
      <c r="J22" s="154"/>
      <c r="K22" s="154"/>
    </row>
    <row r="23" spans="1:11">
      <c r="A23" s="154"/>
      <c r="B23" s="311" t="s">
        <v>736</v>
      </c>
      <c r="C23" s="311"/>
      <c r="D23" s="311"/>
      <c r="E23" s="311"/>
      <c r="F23" s="311"/>
      <c r="G23" s="311"/>
      <c r="H23" s="311"/>
      <c r="I23" s="311"/>
      <c r="J23" s="311"/>
      <c r="K23" s="154"/>
    </row>
    <row r="24" spans="1:11">
      <c r="A24" s="154"/>
      <c r="B24" s="311" t="s">
        <v>737</v>
      </c>
      <c r="C24" s="311"/>
      <c r="D24" s="154"/>
      <c r="E24" s="154"/>
      <c r="F24" s="154"/>
      <c r="G24" s="154"/>
      <c r="H24" s="154"/>
      <c r="I24" s="154"/>
      <c r="J24" s="154"/>
      <c r="K24" s="154"/>
    </row>
    <row r="25" spans="1:11">
      <c r="A25" s="154"/>
      <c r="B25" s="311" t="s">
        <v>738</v>
      </c>
      <c r="C25" s="311"/>
      <c r="D25" s="311"/>
      <c r="E25" s="311"/>
      <c r="F25" s="311"/>
      <c r="G25" s="311"/>
      <c r="H25" s="311"/>
      <c r="I25" s="311"/>
      <c r="J25" s="154"/>
      <c r="K25" s="154"/>
    </row>
    <row r="26" spans="1:11">
      <c r="A26" s="154"/>
      <c r="B26" s="311" t="s">
        <v>739</v>
      </c>
      <c r="C26" s="311"/>
      <c r="D26" s="311"/>
      <c r="E26" s="311"/>
      <c r="F26" s="311"/>
      <c r="G26" s="311"/>
      <c r="H26" s="311"/>
      <c r="I26" s="311"/>
      <c r="J26" s="311"/>
      <c r="K26" s="311"/>
    </row>
    <row r="27" spans="1:11">
      <c r="A27" s="154"/>
      <c r="B27" s="311" t="s">
        <v>740</v>
      </c>
      <c r="C27" s="311"/>
      <c r="D27" s="311"/>
      <c r="E27" s="311"/>
      <c r="F27" s="311"/>
      <c r="G27" s="311"/>
      <c r="H27" s="311"/>
      <c r="I27" s="311"/>
      <c r="J27" s="311"/>
      <c r="K27" s="154"/>
    </row>
    <row r="28" spans="1:11">
      <c r="A28" s="154"/>
      <c r="B28" s="303" t="s">
        <v>741</v>
      </c>
      <c r="C28" s="154"/>
      <c r="D28" s="154"/>
      <c r="E28" s="154"/>
      <c r="F28" s="154"/>
      <c r="G28" s="154"/>
      <c r="H28" s="154"/>
      <c r="I28" s="154"/>
      <c r="J28" s="154"/>
      <c r="K28" s="154"/>
    </row>
    <row r="29" spans="1:11">
      <c r="A29" s="154"/>
      <c r="C29" s="154"/>
      <c r="D29" s="154"/>
      <c r="E29" s="154"/>
      <c r="F29" s="154"/>
      <c r="G29" s="154"/>
      <c r="H29" s="154"/>
      <c r="I29" s="154"/>
      <c r="J29" s="154"/>
      <c r="K29" s="154"/>
    </row>
    <row r="30" spans="1:11">
      <c r="A30" s="154"/>
      <c r="B30" s="154"/>
      <c r="C30" s="154"/>
      <c r="D30" s="154"/>
      <c r="E30" s="154"/>
      <c r="F30" s="154"/>
      <c r="G30" s="154"/>
      <c r="H30" s="154"/>
      <c r="I30" s="154"/>
      <c r="J30" s="154"/>
      <c r="K30" s="154"/>
    </row>
    <row r="31" spans="1:11">
      <c r="A31" s="154"/>
      <c r="B31" s="311" t="s">
        <v>742</v>
      </c>
      <c r="C31" s="311"/>
      <c r="D31" s="311"/>
      <c r="E31" s="311"/>
      <c r="F31" s="311"/>
      <c r="G31" s="311"/>
      <c r="H31" s="311"/>
      <c r="I31" s="311"/>
      <c r="J31" s="154"/>
      <c r="K31" s="154"/>
    </row>
    <row r="32" spans="1:11">
      <c r="A32" s="154"/>
      <c r="B32" s="311" t="s">
        <v>743</v>
      </c>
      <c r="C32" s="311"/>
      <c r="D32" s="311"/>
      <c r="E32" s="154"/>
      <c r="F32" s="154"/>
      <c r="G32" s="154"/>
      <c r="H32" s="154"/>
      <c r="I32" s="154"/>
      <c r="J32" s="154"/>
      <c r="K32" s="154"/>
    </row>
    <row r="33" spans="1:4">
      <c r="A33" s="155"/>
    </row>
    <row r="34" spans="1:4">
      <c r="A34" t="s">
        <v>744</v>
      </c>
    </row>
    <row r="35" spans="1:4">
      <c r="B35" t="s">
        <v>745</v>
      </c>
    </row>
    <row r="36" spans="1:4">
      <c r="B36" t="s">
        <v>746</v>
      </c>
    </row>
    <row r="37" spans="1:4">
      <c r="B37" t="s">
        <v>747</v>
      </c>
    </row>
    <row r="42" spans="1:4">
      <c r="C42" s="44"/>
      <c r="D42" s="44"/>
    </row>
    <row r="43" spans="1:4">
      <c r="D43" s="44"/>
    </row>
    <row r="44" spans="1:4">
      <c r="D44" s="44"/>
    </row>
  </sheetData>
  <mergeCells count="16">
    <mergeCell ref="B7:E7"/>
    <mergeCell ref="B2:D2"/>
    <mergeCell ref="B3:H3"/>
    <mergeCell ref="B4:J4"/>
    <mergeCell ref="B5:H5"/>
    <mergeCell ref="B6:E6"/>
    <mergeCell ref="B32:D32"/>
    <mergeCell ref="B8:F8"/>
    <mergeCell ref="B9:D9"/>
    <mergeCell ref="B10:D10"/>
    <mergeCell ref="B23:J23"/>
    <mergeCell ref="B24:C24"/>
    <mergeCell ref="B25:I25"/>
    <mergeCell ref="B26:K26"/>
    <mergeCell ref="B27:J27"/>
    <mergeCell ref="B31:I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052F38D66E34AA735E6B143691646" ma:contentTypeVersion="12" ma:contentTypeDescription="Create a new document." ma:contentTypeScope="" ma:versionID="50021b0b631d25aca98789755d9af4e5">
  <xsd:schema xmlns:xsd="http://www.w3.org/2001/XMLSchema" xmlns:xs="http://www.w3.org/2001/XMLSchema" xmlns:p="http://schemas.microsoft.com/office/2006/metadata/properties" xmlns:ns2="403837eb-a3b2-45f9-8adc-0407baf76136" xmlns:ns3="8e927a99-30d6-468e-b333-b4ebc3a98bf7" targetNamespace="http://schemas.microsoft.com/office/2006/metadata/properties" ma:root="true" ma:fieldsID="c46caf8e7d13c5f42f901eadc885e91a" ns2:_="" ns3:_="">
    <xsd:import namespace="403837eb-a3b2-45f9-8adc-0407baf76136"/>
    <xsd:import namespace="8e927a99-30d6-468e-b333-b4ebc3a98b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37eb-a3b2-45f9-8adc-0407baf76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d1fd1ea-7ae8-45fa-9b26-08ca6ba2cc5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927a99-30d6-468e-b333-b4ebc3a98b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ef06805-bd49-426d-b515-c50bfa57b56c}" ma:internalName="TaxCatchAll" ma:showField="CatchAllData" ma:web="8e927a99-30d6-468e-b333-b4ebc3a98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e927a99-30d6-468e-b333-b4ebc3a98bf7" xsi:nil="true"/>
    <lcf76f155ced4ddcb4097134ff3c332f xmlns="403837eb-a3b2-45f9-8adc-0407baf7613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4C3929-CC85-4CB5-98A0-04CE710B04ED}"/>
</file>

<file path=customXml/itemProps2.xml><?xml version="1.0" encoding="utf-8"?>
<ds:datastoreItem xmlns:ds="http://schemas.openxmlformats.org/officeDocument/2006/customXml" ds:itemID="{35F26D3A-98DE-4532-84CA-72B6F7035BFD}">
  <ds:schemaRefs>
    <ds:schemaRef ds:uri="http://schemas.microsoft.com/office/infopath/2007/PartnerControls"/>
    <ds:schemaRef ds:uri="http://schemas.openxmlformats.org/package/2006/metadata/core-properties"/>
    <ds:schemaRef ds:uri="http://purl.org/dc/terms/"/>
    <ds:schemaRef ds:uri="http://purl.org/dc/dcmitype/"/>
    <ds:schemaRef ds:uri="630ff66b-0282-4fbd-b557-f964a37d5992"/>
    <ds:schemaRef ds:uri="http://purl.org/dc/elements/1.1/"/>
    <ds:schemaRef ds:uri="http://schemas.microsoft.com/office/2006/documentManagement/types"/>
    <ds:schemaRef ds:uri="6d9e7290-edae-4a5b-bbc2-fbf4f07975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EE45372-5EF6-4128-A10A-150560B9A3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Start</vt:lpstr>
      <vt:lpstr>My practice</vt:lpstr>
      <vt:lpstr>Urgent unplanned</vt:lpstr>
      <vt:lpstr>Proactive preventative</vt:lpstr>
      <vt:lpstr>Business efficiency</vt:lpstr>
      <vt:lpstr>Results</vt:lpstr>
      <vt:lpstr>Practice Inputs</vt:lpstr>
      <vt:lpstr>Change Inputs</vt:lpstr>
      <vt:lpstr>Defaults</vt:lpstr>
      <vt:lpstr>Formats</vt:lpstr>
      <vt:lpstr>To do</vt:lpstr>
      <vt:lpstr>bookmark_ca_savings</vt:lpstr>
      <vt:lpstr>bookmark_call_mgmt</vt:lpstr>
      <vt:lpstr>bookmark_care_plans</vt:lpstr>
      <vt:lpstr>bookmark_consulting_practitioners</vt:lpstr>
      <vt:lpstr>bookmark_ext_care_team</vt:lpstr>
      <vt:lpstr>bookmark_extended_hours</vt:lpstr>
      <vt:lpstr>bookmark_my_practice_inputs</vt:lpstr>
      <vt:lpstr>bookmark_portal</vt:lpstr>
      <vt:lpstr>bookmark_salary_inputs</vt:lpstr>
      <vt:lpstr>bookmark_space</vt:lpstr>
      <vt:lpstr>bookmark_triage</vt:lpstr>
      <vt:lpstr>bookmark_urgent_care_role</vt:lpstr>
      <vt:lpstr>hours_per_FTE_pa</vt:lpstr>
      <vt:lpstr>input_complexity</vt:lpstr>
      <vt:lpstr>input_ESU</vt:lpstr>
      <vt:lpstr>input_pct_triaged_by_gp</vt:lpstr>
      <vt:lpstr>input_vlca</vt:lpstr>
      <vt:lpstr>input_wkly_triage_calls</vt:lpstr>
      <vt:lpstr>used_esu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Peck; Rob Stewart</dc:creator>
  <cp:keywords/>
  <dc:description/>
  <cp:lastModifiedBy>Ny Brunenberg</cp:lastModifiedBy>
  <cp:revision/>
  <dcterms:created xsi:type="dcterms:W3CDTF">2017-02-02T21:57:41Z</dcterms:created>
  <dcterms:modified xsi:type="dcterms:W3CDTF">2024-09-08T23:58:07Z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0x010100FAB052F38D66E34AA735E6B143691646</vt:lpwstr>
  </property>
  <property fmtid="{D5CDD505-2E9C-101B-9397-08002B2CF9AE}" pid="3" name="Order">
    <vt:r8>15644400</vt:r8>
  </property>
  <property fmtid="{D5CDD505-2E9C-101B-9397-08002B2CF9AE}" pid="4" name="_ExtendedDescription">
    <vt:lpwstr/>
  </property>
  <property fmtid="{D5CDD505-2E9C-101B-9397-08002B2CF9AE}" pid="5" name="MediaServiceImageTags">
    <vt:lpwstr/>
  </property>
</Properties>
</file>